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426"/>
  <workbookPr autoCompressPictures="0"/>
  <mc:AlternateContent xmlns:mc="http://schemas.openxmlformats.org/markup-compatibility/2006">
    <mc:Choice Requires="x15">
      <x15ac:absPath xmlns:x15ac="http://schemas.microsoft.com/office/spreadsheetml/2010/11/ac" url="/Users/kevin/Library/Mobile Documents/com~apple~CloudDocs/Smarty/"/>
    </mc:Choice>
  </mc:AlternateContent>
  <bookViews>
    <workbookView xWindow="19120" yWindow="880" windowWidth="29800" windowHeight="17200" tabRatio="916"/>
  </bookViews>
  <sheets>
    <sheet name="2016 Races" sheetId="28" r:id="rId1"/>
    <sheet name="2016 Workouts" sheetId="10" r:id="rId2"/>
    <sheet name="2006 Foals" sheetId="1" r:id="rId3"/>
    <sheet name="2007 Foals" sheetId="2" r:id="rId4"/>
    <sheet name="2008 Foals" sheetId="3" r:id="rId5"/>
    <sheet name="2009 Foals" sheetId="7" r:id="rId6"/>
    <sheet name="2010 Foals" sheetId="11" r:id="rId7"/>
    <sheet name="2011 Foals" sheetId="15" r:id="rId8"/>
    <sheet name="2012 Foals" sheetId="21" r:id="rId9"/>
    <sheet name="2012-SA Foals" sheetId="36" r:id="rId10"/>
    <sheet name="2013 Foals" sheetId="25" r:id="rId11"/>
    <sheet name="2013-SA Foals" sheetId="37" r:id="rId12"/>
    <sheet name="2014 Foals" sheetId="27" r:id="rId13"/>
    <sheet name="2014-SA Foals" sheetId="38" r:id="rId14"/>
    <sheet name="2015 Foals" sheetId="34" r:id="rId15"/>
    <sheet name="2016 Foals" sheetId="39" r:id="rId16"/>
    <sheet name="2017 Foals" sheetId="41" r:id="rId17"/>
    <sheet name="$100k Earners" sheetId="35" r:id="rId18"/>
    <sheet name="Credits" sheetId="4" r:id="rId19"/>
  </sheets>
  <definedNames>
    <definedName name="_xlnm.Print_Area" localSheetId="2">'2006 Foals'!$A$3:$F$125</definedName>
    <definedName name="_xlnm.Print_Titles" localSheetId="2">'2006 Foals'!$3:$3</definedName>
  </definedNames>
  <calcPr calcId="150001" calcOnSave="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Z1038" i="28" l="1"/>
  <c r="AY1038" i="28"/>
  <c r="AZ1037" i="28"/>
  <c r="AY1037" i="28"/>
  <c r="AZ1036" i="28"/>
  <c r="AY1036" i="28"/>
  <c r="AZ1035" i="28"/>
  <c r="AY1035" i="28"/>
  <c r="AZ1034" i="28"/>
  <c r="AY1034" i="28"/>
  <c r="AZ1033" i="28"/>
  <c r="AY1033" i="28"/>
  <c r="AZ1032" i="28"/>
  <c r="AY1032" i="28"/>
  <c r="AZ1031" i="28"/>
  <c r="AY1031" i="28"/>
  <c r="AZ1030" i="28"/>
  <c r="AY1030" i="28"/>
  <c r="AZ1029" i="28"/>
  <c r="AY1029" i="28"/>
  <c r="AZ1028" i="28"/>
  <c r="AY1028" i="28"/>
  <c r="AZ1027" i="28"/>
  <c r="AY1027" i="28"/>
  <c r="AZ1026" i="28"/>
  <c r="AY1026" i="28"/>
  <c r="AZ1025" i="28"/>
  <c r="AY1025" i="28"/>
  <c r="AZ1024" i="28"/>
  <c r="AY1024" i="28"/>
  <c r="AZ1023" i="28"/>
  <c r="AY1023" i="28"/>
  <c r="AZ1022" i="28"/>
  <c r="AY1022" i="28"/>
  <c r="AZ1021" i="28"/>
  <c r="AY1021" i="28"/>
  <c r="AZ1020" i="28"/>
  <c r="AY1020" i="28"/>
  <c r="AZ1019" i="28"/>
  <c r="AY1019" i="28"/>
  <c r="AZ1018" i="28"/>
  <c r="AY1018" i="28"/>
  <c r="AZ1017" i="28"/>
  <c r="AY1017" i="28"/>
  <c r="AZ1016" i="28"/>
  <c r="AY1016" i="28"/>
  <c r="AZ1015" i="28"/>
  <c r="AY1015" i="28"/>
  <c r="AZ1014" i="28"/>
  <c r="AY1014" i="28"/>
  <c r="AZ1013" i="28"/>
  <c r="AY1013" i="28"/>
  <c r="AZ1012" i="28"/>
  <c r="AY1012" i="28"/>
  <c r="AZ1011" i="28"/>
  <c r="AY1011" i="28"/>
  <c r="AZ1010" i="28"/>
  <c r="AY1010" i="28"/>
  <c r="AZ1009" i="28"/>
  <c r="AY1009" i="28"/>
  <c r="AZ1008" i="28"/>
  <c r="AY1008" i="28"/>
  <c r="AZ1007" i="28"/>
  <c r="AY1007" i="28"/>
  <c r="AZ1006" i="28"/>
  <c r="AY1006" i="28"/>
  <c r="AZ1005" i="28"/>
  <c r="AY1005" i="28"/>
  <c r="AZ1004" i="28"/>
  <c r="AY1004" i="28"/>
  <c r="AZ1003" i="28"/>
  <c r="AY1003" i="28"/>
  <c r="AZ1002" i="28"/>
  <c r="AY1002" i="28"/>
  <c r="AZ1001" i="28"/>
  <c r="AY1001" i="28"/>
  <c r="AZ1000" i="28"/>
  <c r="AY1000" i="28"/>
  <c r="AZ999" i="28"/>
  <c r="AY999" i="28"/>
  <c r="AZ998" i="28"/>
  <c r="AY998" i="28"/>
  <c r="AZ997" i="28"/>
  <c r="AY997" i="28"/>
  <c r="AZ996" i="28"/>
  <c r="AY996" i="28"/>
  <c r="AZ995" i="28"/>
  <c r="AY995" i="28"/>
  <c r="AZ994" i="28"/>
  <c r="AY994" i="28"/>
  <c r="AZ993" i="28"/>
  <c r="AY993" i="28"/>
  <c r="AZ992" i="28"/>
  <c r="AY992" i="28"/>
  <c r="AZ991" i="28"/>
  <c r="AY991" i="28"/>
  <c r="AZ990" i="28"/>
  <c r="AY990" i="28"/>
  <c r="AZ989" i="28"/>
  <c r="AY989" i="28"/>
  <c r="AZ988" i="28"/>
  <c r="AY988" i="28"/>
  <c r="AZ987" i="28"/>
  <c r="AY987" i="28"/>
  <c r="AZ986" i="28"/>
  <c r="AY986" i="28"/>
  <c r="AZ985" i="28"/>
  <c r="AY985" i="28"/>
  <c r="AZ984" i="28"/>
  <c r="AY984" i="28"/>
  <c r="D1071" i="28"/>
  <c r="D1096" i="28"/>
  <c r="D1059" i="28"/>
  <c r="D1057" i="28"/>
  <c r="D1055" i="28"/>
  <c r="D1052" i="28"/>
  <c r="L10" i="21"/>
  <c r="L1026" i="28"/>
  <c r="L1025" i="28"/>
  <c r="L1015" i="28"/>
  <c r="L7" i="21"/>
  <c r="L4" i="27"/>
  <c r="L13" i="25"/>
  <c r="L49" i="35"/>
  <c r="L6" i="11"/>
  <c r="O9" i="27"/>
  <c r="N9" i="27"/>
  <c r="M9" i="27"/>
  <c r="L4" i="36"/>
  <c r="L24" i="36"/>
  <c r="L34" i="36"/>
  <c r="L38" i="36"/>
  <c r="L40" i="36"/>
  <c r="L18" i="36"/>
  <c r="L22" i="37"/>
  <c r="L8" i="36"/>
  <c r="L21" i="21"/>
  <c r="L12" i="25"/>
  <c r="L41" i="35"/>
  <c r="L8" i="21"/>
  <c r="L1016" i="28"/>
  <c r="L1012" i="28"/>
  <c r="L1032" i="28"/>
  <c r="L5" i="3"/>
  <c r="L997" i="28"/>
  <c r="L5" i="37"/>
  <c r="L31" i="36"/>
  <c r="L11" i="36"/>
  <c r="L10" i="36"/>
  <c r="L21" i="36"/>
  <c r="L7" i="36"/>
  <c r="L4" i="3"/>
  <c r="L7" i="7"/>
  <c r="O16" i="15"/>
  <c r="N16" i="15"/>
  <c r="M16" i="15"/>
  <c r="D1098" i="28"/>
  <c r="D1097" i="28"/>
  <c r="D1093" i="28"/>
  <c r="D1092" i="28"/>
  <c r="D1091" i="28"/>
  <c r="D1085" i="28"/>
  <c r="D1084" i="28"/>
  <c r="D1081" i="28"/>
  <c r="D1080" i="28"/>
  <c r="D1079" i="28"/>
  <c r="D1078" i="28"/>
  <c r="D1077" i="28"/>
  <c r="D1075" i="28"/>
  <c r="D1074" i="28"/>
  <c r="D1073" i="28"/>
  <c r="D1072" i="28"/>
  <c r="D1070" i="28"/>
  <c r="D1069" i="28"/>
  <c r="D1068" i="28"/>
  <c r="D1067" i="28"/>
  <c r="D1066" i="28"/>
  <c r="D1065" i="28"/>
  <c r="D1062" i="28"/>
  <c r="D1064" i="28"/>
  <c r="D1063" i="28"/>
  <c r="D1061" i="28"/>
  <c r="D1060" i="28"/>
  <c r="D1058" i="28"/>
  <c r="D1056" i="28"/>
  <c r="D1053" i="28"/>
  <c r="L28" i="25"/>
  <c r="L7" i="15"/>
  <c r="L72" i="35"/>
  <c r="L989" i="28"/>
  <c r="L984" i="28"/>
  <c r="L983" i="28"/>
  <c r="AZ983" i="28"/>
  <c r="AY983" i="28"/>
  <c r="AZ982" i="28"/>
  <c r="AY982" i="28"/>
  <c r="AZ981" i="28"/>
  <c r="AY981" i="28"/>
  <c r="AZ980" i="28"/>
  <c r="AY980" i="28"/>
  <c r="AZ979" i="28"/>
  <c r="AY979" i="28"/>
  <c r="L978" i="28"/>
  <c r="AZ978" i="28"/>
  <c r="AY978" i="28"/>
  <c r="AZ977" i="28"/>
  <c r="AY977" i="28"/>
  <c r="AZ976" i="28"/>
  <c r="AY976" i="28"/>
  <c r="AZ975" i="28"/>
  <c r="AY975" i="28"/>
  <c r="L974" i="28"/>
  <c r="AZ974" i="28"/>
  <c r="AY974" i="28"/>
  <c r="AZ973" i="28"/>
  <c r="AY973" i="28"/>
  <c r="L972" i="28"/>
  <c r="AZ972" i="28"/>
  <c r="AY972" i="28"/>
  <c r="AZ971" i="28"/>
  <c r="AY971" i="28"/>
  <c r="L970" i="28"/>
  <c r="AZ970" i="28"/>
  <c r="R970" i="28"/>
  <c r="AY970" i="28"/>
  <c r="AZ969" i="28"/>
  <c r="AY969" i="28"/>
  <c r="AZ968" i="28"/>
  <c r="AY968" i="28"/>
  <c r="L967" i="28"/>
  <c r="AZ967" i="28"/>
  <c r="AY967" i="28"/>
  <c r="L17" i="36"/>
  <c r="L20" i="36"/>
  <c r="L75" i="35"/>
  <c r="L6" i="15"/>
  <c r="L9" i="21"/>
  <c r="L17" i="21"/>
  <c r="L8" i="27"/>
  <c r="L6" i="7"/>
  <c r="L19" i="25"/>
  <c r="L4" i="7"/>
  <c r="L9" i="11"/>
  <c r="L14" i="21"/>
  <c r="L26" i="21"/>
  <c r="L4" i="15"/>
  <c r="L17" i="37"/>
  <c r="L11" i="25"/>
  <c r="L5" i="27"/>
  <c r="L6" i="25"/>
  <c r="L9" i="35"/>
  <c r="L8" i="11"/>
  <c r="L9" i="36"/>
  <c r="L4" i="37"/>
  <c r="L26" i="36"/>
  <c r="L10" i="7"/>
  <c r="L13" i="7"/>
  <c r="L33" i="36"/>
  <c r="L18" i="21"/>
  <c r="L22" i="36"/>
  <c r="L24" i="35"/>
  <c r="L4" i="11"/>
  <c r="L19" i="37"/>
  <c r="L5" i="36"/>
  <c r="D1136" i="28"/>
  <c r="L8" i="15"/>
  <c r="L37" i="36"/>
  <c r="L6" i="35"/>
  <c r="L11" i="7"/>
  <c r="R1122" i="28"/>
  <c r="R1123" i="28"/>
  <c r="R1124" i="28"/>
  <c r="R1125" i="28"/>
  <c r="R1126" i="28"/>
  <c r="R1127" i="28"/>
  <c r="R1128" i="28"/>
  <c r="R1129" i="28"/>
  <c r="R1130" i="28"/>
  <c r="R1131" i="28"/>
  <c r="R1132" i="28"/>
  <c r="D1125" i="28"/>
  <c r="D1126" i="28"/>
  <c r="D1128" i="28"/>
  <c r="D1130" i="28"/>
  <c r="D1133" i="28"/>
  <c r="R9" i="28"/>
  <c r="R150" i="28"/>
  <c r="R797" i="28"/>
  <c r="R1039" i="28"/>
  <c r="R1052" i="28"/>
  <c r="L17" i="35"/>
  <c r="L5" i="7"/>
  <c r="L16" i="36"/>
  <c r="L28" i="36"/>
  <c r="L27" i="36"/>
  <c r="L90" i="35"/>
  <c r="L12" i="21"/>
  <c r="L9" i="25"/>
  <c r="L18" i="25"/>
  <c r="AZ966" i="28"/>
  <c r="AY966" i="28"/>
  <c r="AZ965" i="28"/>
  <c r="AY965" i="28"/>
  <c r="AZ964" i="28"/>
  <c r="AY964" i="28"/>
  <c r="L963" i="28"/>
  <c r="AZ963" i="28"/>
  <c r="AY963" i="28"/>
  <c r="AZ962" i="28"/>
  <c r="AY962" i="28"/>
  <c r="AZ961" i="28"/>
  <c r="AY961" i="28"/>
  <c r="AZ960" i="28"/>
  <c r="AY960" i="28"/>
  <c r="AZ959" i="28"/>
  <c r="AY959" i="28"/>
  <c r="AZ958" i="28"/>
  <c r="AY958" i="28"/>
  <c r="L957" i="28"/>
  <c r="AZ957" i="28"/>
  <c r="AY957" i="28"/>
  <c r="AZ956" i="28"/>
  <c r="AY956" i="28"/>
  <c r="AZ955" i="28"/>
  <c r="AY955" i="28"/>
  <c r="AZ954" i="28"/>
  <c r="AY954" i="28"/>
  <c r="L952" i="28"/>
  <c r="AZ952" i="28"/>
  <c r="AY952" i="28"/>
  <c r="AZ953" i="28"/>
  <c r="AY953" i="28"/>
  <c r="AZ951" i="28"/>
  <c r="AY951" i="28"/>
  <c r="AZ950" i="28"/>
  <c r="AY950" i="28"/>
  <c r="AZ949" i="28"/>
  <c r="AY949" i="28"/>
  <c r="AZ948" i="28"/>
  <c r="AY948" i="28"/>
  <c r="AZ945" i="28"/>
  <c r="AY945" i="28"/>
  <c r="AZ947" i="28"/>
  <c r="AY947" i="28"/>
  <c r="L946" i="28"/>
  <c r="AZ946" i="28"/>
  <c r="AY946" i="28"/>
  <c r="AZ944" i="28"/>
  <c r="AY944" i="28"/>
  <c r="AZ942" i="28"/>
  <c r="AY942" i="28"/>
  <c r="AZ943" i="28"/>
  <c r="AY943" i="28"/>
  <c r="AZ941" i="28"/>
  <c r="AY941" i="28"/>
  <c r="AZ940" i="28"/>
  <c r="AY940" i="28"/>
  <c r="AZ939" i="28"/>
  <c r="AY939" i="28"/>
  <c r="AZ938" i="28"/>
  <c r="AY938" i="28"/>
  <c r="AZ937" i="28"/>
  <c r="AY937" i="28"/>
  <c r="AZ936" i="28"/>
  <c r="AY936" i="28"/>
  <c r="AZ935" i="28"/>
  <c r="AY935" i="28"/>
  <c r="L934" i="28"/>
  <c r="AZ934" i="28"/>
  <c r="AY934" i="28"/>
  <c r="AZ933" i="28"/>
  <c r="AY933" i="28"/>
  <c r="AZ932" i="28"/>
  <c r="AY932" i="28"/>
  <c r="L931" i="28"/>
  <c r="AZ931" i="28"/>
  <c r="AY931" i="28"/>
  <c r="L930" i="28"/>
  <c r="AZ930" i="28"/>
  <c r="AY930" i="28"/>
  <c r="AZ929" i="28"/>
  <c r="AY929" i="28"/>
  <c r="AZ928" i="28"/>
  <c r="AY928" i="28"/>
  <c r="AZ927" i="28"/>
  <c r="AY927" i="28"/>
  <c r="AZ926" i="28"/>
  <c r="AY926" i="28"/>
  <c r="AZ925" i="28"/>
  <c r="AY925" i="28"/>
  <c r="L924" i="28"/>
  <c r="AZ924" i="28"/>
  <c r="AY924" i="28"/>
  <c r="AZ923" i="28"/>
  <c r="AY923" i="28"/>
  <c r="L13" i="21"/>
  <c r="R1111" i="28"/>
  <c r="R1112" i="28"/>
  <c r="R1113" i="28"/>
  <c r="R1114" i="28"/>
  <c r="R1115" i="28"/>
  <c r="R1116" i="28"/>
  <c r="R1117" i="28"/>
  <c r="R1118" i="28"/>
  <c r="R1119" i="28"/>
  <c r="R1120" i="28"/>
  <c r="R1121" i="28"/>
  <c r="R1045" i="28"/>
  <c r="R1044" i="28"/>
  <c r="L5" i="35"/>
  <c r="L13" i="11"/>
  <c r="H904" i="28"/>
  <c r="AY904" i="28"/>
  <c r="L21" i="25"/>
  <c r="L15" i="25"/>
  <c r="I1075" i="28"/>
  <c r="I1076" i="28"/>
  <c r="I1077" i="28"/>
  <c r="I1078" i="28"/>
  <c r="I1079" i="28"/>
  <c r="I1080" i="28"/>
  <c r="I1081" i="28"/>
  <c r="I1082" i="28"/>
  <c r="I1083" i="28"/>
  <c r="I1084" i="28"/>
  <c r="I1085" i="28"/>
  <c r="I1086" i="28"/>
  <c r="I1087" i="28"/>
  <c r="I1088" i="28"/>
  <c r="I1089" i="28"/>
  <c r="I1090" i="28"/>
  <c r="I1091" i="28"/>
  <c r="I1092" i="28"/>
  <c r="I1093" i="28"/>
  <c r="I1094" i="28"/>
  <c r="I1095" i="28"/>
  <c r="I1096" i="28"/>
  <c r="I1097" i="28"/>
  <c r="I1099" i="28"/>
  <c r="I1100" i="28"/>
  <c r="I1101" i="28"/>
  <c r="I1102" i="28"/>
  <c r="I1103" i="28"/>
  <c r="I1104" i="28"/>
  <c r="I1105" i="28"/>
  <c r="I1106" i="28"/>
  <c r="I1107" i="28"/>
  <c r="I1108" i="28"/>
  <c r="I1109" i="28"/>
  <c r="I1110" i="28"/>
  <c r="I1111" i="28"/>
  <c r="I1112" i="28"/>
  <c r="I1113" i="28"/>
  <c r="I1114" i="28"/>
  <c r="I1115" i="28"/>
  <c r="I1116" i="28"/>
  <c r="I1117" i="28"/>
  <c r="I1118" i="28"/>
  <c r="I1119" i="28"/>
  <c r="I1120" i="28"/>
  <c r="I1121" i="28"/>
  <c r="I1122" i="28"/>
  <c r="I1123" i="28"/>
  <c r="I1124" i="28"/>
  <c r="I1125" i="28"/>
  <c r="I1126" i="28"/>
  <c r="I1127" i="28"/>
  <c r="I1128" i="28"/>
  <c r="I1129" i="28"/>
  <c r="I1130" i="28"/>
  <c r="I1131" i="28"/>
  <c r="I1132" i="28"/>
  <c r="I1133" i="28"/>
  <c r="I1134" i="28"/>
  <c r="I1135" i="28"/>
  <c r="I1136" i="28"/>
  <c r="I1137" i="28"/>
  <c r="I1138" i="28"/>
  <c r="I1139" i="28"/>
  <c r="I1140" i="28"/>
  <c r="I1141" i="28"/>
  <c r="I1142" i="28"/>
  <c r="I1143" i="28"/>
  <c r="I1144" i="28"/>
  <c r="I1145" i="28"/>
  <c r="G1147" i="28"/>
  <c r="H1147" i="28"/>
  <c r="L14" i="7"/>
  <c r="L22" i="21"/>
  <c r="L12" i="7"/>
  <c r="L15" i="36"/>
  <c r="L5" i="11"/>
  <c r="L20" i="21"/>
  <c r="L14" i="36"/>
  <c r="L6" i="27"/>
  <c r="L23" i="36"/>
  <c r="L12" i="36"/>
  <c r="AZ844" i="28"/>
  <c r="AY844" i="28"/>
  <c r="L908" i="28"/>
  <c r="L909" i="28"/>
  <c r="AZ922" i="28"/>
  <c r="AY922" i="28"/>
  <c r="AZ921" i="28"/>
  <c r="AY921" i="28"/>
  <c r="AZ920" i="28"/>
  <c r="AY920" i="28"/>
  <c r="AZ919" i="28"/>
  <c r="AY919" i="28"/>
  <c r="AZ918" i="28"/>
  <c r="AY918" i="28"/>
  <c r="AZ917" i="28"/>
  <c r="AY917" i="28"/>
  <c r="AZ916" i="28"/>
  <c r="AY916" i="28"/>
  <c r="AZ914" i="28"/>
  <c r="AY914" i="28"/>
  <c r="L915" i="28"/>
  <c r="AZ915" i="28"/>
  <c r="AY915" i="28"/>
  <c r="AZ913" i="28"/>
  <c r="AY913" i="28"/>
  <c r="L912" i="28"/>
  <c r="AZ912" i="28"/>
  <c r="AY912" i="28"/>
  <c r="AZ911" i="28"/>
  <c r="AY911" i="28"/>
  <c r="AZ910" i="28"/>
  <c r="AY910" i="28"/>
  <c r="AZ908" i="28"/>
  <c r="AY908" i="28"/>
  <c r="AZ909" i="28"/>
  <c r="AY909" i="28"/>
  <c r="AZ906" i="28"/>
  <c r="AY906" i="28"/>
  <c r="AZ907" i="28"/>
  <c r="AY907" i="28"/>
  <c r="AZ905" i="28"/>
  <c r="AY905" i="28"/>
  <c r="L903" i="28"/>
  <c r="AZ903" i="28"/>
  <c r="AY903" i="28"/>
  <c r="AZ902" i="28"/>
  <c r="AY902" i="28"/>
  <c r="L901" i="28"/>
  <c r="AZ901" i="28"/>
  <c r="AY901" i="28"/>
  <c r="AZ900" i="28"/>
  <c r="AY900" i="28"/>
  <c r="AZ899" i="28"/>
  <c r="AY899" i="28"/>
  <c r="AZ898" i="28"/>
  <c r="AY898" i="28"/>
  <c r="AZ897" i="28"/>
  <c r="AY897" i="28"/>
  <c r="AZ896" i="28"/>
  <c r="AY896" i="28"/>
  <c r="AZ895" i="28"/>
  <c r="AY895" i="28"/>
  <c r="AZ894" i="28"/>
  <c r="AY894" i="28"/>
  <c r="AZ893" i="28"/>
  <c r="AY893" i="28"/>
  <c r="AZ892" i="28"/>
  <c r="AY892" i="28"/>
  <c r="L891" i="28"/>
  <c r="AZ891" i="28"/>
  <c r="AY891" i="28"/>
  <c r="L890" i="28"/>
  <c r="AZ890" i="28"/>
  <c r="AY890" i="28"/>
  <c r="AZ889" i="28"/>
  <c r="AY889" i="28"/>
  <c r="AZ888" i="28"/>
  <c r="AY888" i="28"/>
  <c r="AZ887" i="28"/>
  <c r="AY887" i="28"/>
  <c r="AZ886" i="28"/>
  <c r="AY886" i="28"/>
  <c r="R1049" i="28"/>
  <c r="L19" i="21"/>
  <c r="O29" i="37"/>
  <c r="N29" i="37"/>
  <c r="M29" i="37"/>
  <c r="O28" i="37"/>
  <c r="N28" i="37"/>
  <c r="L28" i="37"/>
  <c r="M28" i="37"/>
  <c r="O27" i="37"/>
  <c r="N27" i="37"/>
  <c r="L27" i="37"/>
  <c r="M27" i="37"/>
  <c r="O4" i="37"/>
  <c r="N4" i="37"/>
  <c r="M4" i="37"/>
  <c r="AZ885" i="28"/>
  <c r="AY885" i="28"/>
  <c r="AZ884" i="28"/>
  <c r="AY884" i="28"/>
  <c r="L883" i="28"/>
  <c r="AZ883" i="28"/>
  <c r="AY883" i="28"/>
  <c r="AZ882" i="28"/>
  <c r="AY882" i="28"/>
  <c r="AZ881" i="28"/>
  <c r="AY881" i="28"/>
  <c r="L880" i="28"/>
  <c r="AZ880" i="28"/>
  <c r="AY880" i="28"/>
  <c r="AZ879" i="28"/>
  <c r="AY879" i="28"/>
  <c r="AZ878" i="28"/>
  <c r="AY878" i="28"/>
  <c r="AZ877" i="28"/>
  <c r="AY877" i="28"/>
  <c r="AZ876" i="28"/>
  <c r="AY876" i="28"/>
  <c r="AZ875" i="28"/>
  <c r="AY875" i="28"/>
  <c r="AZ874" i="28"/>
  <c r="AY874" i="28"/>
  <c r="AZ873" i="28"/>
  <c r="AY873" i="28"/>
  <c r="AZ872" i="28"/>
  <c r="AY872" i="28"/>
  <c r="AZ871" i="28"/>
  <c r="AY871" i="28"/>
  <c r="AZ870" i="28"/>
  <c r="AY870" i="28"/>
  <c r="AZ869" i="28"/>
  <c r="AY869" i="28"/>
  <c r="AZ868" i="28"/>
  <c r="AY868" i="28"/>
  <c r="AZ867" i="28"/>
  <c r="AY867" i="28"/>
  <c r="AZ866" i="28"/>
  <c r="AY866" i="28"/>
  <c r="AZ865" i="28"/>
  <c r="AY865" i="28"/>
  <c r="AZ864" i="28"/>
  <c r="AY864" i="28"/>
  <c r="AZ863" i="28"/>
  <c r="AY863" i="28"/>
  <c r="AZ862" i="28"/>
  <c r="AY862" i="28"/>
  <c r="AZ861" i="28"/>
  <c r="AY861" i="28"/>
  <c r="AZ860" i="28"/>
  <c r="AY860" i="28"/>
  <c r="AZ859" i="28"/>
  <c r="AY859" i="28"/>
  <c r="AZ858" i="28"/>
  <c r="AY858" i="28"/>
  <c r="AZ857" i="28"/>
  <c r="AY857" i="28"/>
  <c r="AZ856" i="28"/>
  <c r="AY856" i="28"/>
  <c r="AZ855" i="28"/>
  <c r="AY855" i="28"/>
  <c r="AZ854" i="28"/>
  <c r="AY854" i="28"/>
  <c r="AZ853" i="28"/>
  <c r="AY853" i="28"/>
  <c r="L852" i="28"/>
  <c r="AZ852" i="28"/>
  <c r="AY852" i="28"/>
  <c r="AZ851" i="28"/>
  <c r="AY851" i="28"/>
  <c r="L850" i="28"/>
  <c r="AZ850" i="28"/>
  <c r="AY850" i="28"/>
  <c r="AZ849" i="28"/>
  <c r="AY849" i="28"/>
  <c r="AZ848" i="28"/>
  <c r="AY848" i="28"/>
  <c r="AZ847" i="28"/>
  <c r="AY847" i="28"/>
  <c r="BA26" i="27"/>
  <c r="BA25" i="27"/>
  <c r="BA47" i="25"/>
  <c r="BA46" i="25"/>
  <c r="BA43" i="21"/>
  <c r="BA42" i="21"/>
  <c r="BA44" i="25"/>
  <c r="L30" i="21"/>
  <c r="M30" i="21"/>
  <c r="N30" i="21"/>
  <c r="O30" i="21"/>
  <c r="BA30" i="21"/>
  <c r="L14" i="37"/>
  <c r="L55" i="35"/>
  <c r="L11" i="21"/>
  <c r="L20" i="25"/>
  <c r="L15" i="21"/>
  <c r="O4" i="27"/>
  <c r="N4" i="27"/>
  <c r="M4" i="27"/>
  <c r="L16" i="21"/>
  <c r="AY6" i="28"/>
  <c r="AY7" i="28"/>
  <c r="AY8" i="28"/>
  <c r="AY9" i="28"/>
  <c r="AY10" i="28"/>
  <c r="AY11" i="28"/>
  <c r="AY12" i="28"/>
  <c r="AY13" i="28"/>
  <c r="AY14" i="28"/>
  <c r="AY15" i="28"/>
  <c r="AY16" i="28"/>
  <c r="AY17" i="28"/>
  <c r="AY18" i="28"/>
  <c r="AY19" i="28"/>
  <c r="AY20" i="28"/>
  <c r="AY21" i="28"/>
  <c r="AY22" i="28"/>
  <c r="AY23" i="28"/>
  <c r="AY24" i="28"/>
  <c r="AY25" i="28"/>
  <c r="AY26" i="28"/>
  <c r="AY27" i="28"/>
  <c r="AY28" i="28"/>
  <c r="AY29" i="28"/>
  <c r="AY30" i="28"/>
  <c r="AY31" i="28"/>
  <c r="AY32" i="28"/>
  <c r="AY33" i="28"/>
  <c r="AY34" i="28"/>
  <c r="AY35" i="28"/>
  <c r="AY36" i="28"/>
  <c r="AY37" i="28"/>
  <c r="AY38" i="28"/>
  <c r="AY39" i="28"/>
  <c r="AY40" i="28"/>
  <c r="AY41" i="28"/>
  <c r="AY42" i="28"/>
  <c r="AY43" i="28"/>
  <c r="AY44" i="28"/>
  <c r="AY45" i="28"/>
  <c r="AY46" i="28"/>
  <c r="AY47" i="28"/>
  <c r="AY48" i="28"/>
  <c r="AY49" i="28"/>
  <c r="AY50" i="28"/>
  <c r="AY51" i="28"/>
  <c r="AY52" i="28"/>
  <c r="AY53" i="28"/>
  <c r="AY54" i="28"/>
  <c r="AY55" i="28"/>
  <c r="AY56" i="28"/>
  <c r="AY57" i="28"/>
  <c r="AY58" i="28"/>
  <c r="AY59" i="28"/>
  <c r="AY60" i="28"/>
  <c r="AY61" i="28"/>
  <c r="AY62" i="28"/>
  <c r="AY63" i="28"/>
  <c r="AY64" i="28"/>
  <c r="AY65" i="28"/>
  <c r="AY66" i="28"/>
  <c r="AY67" i="28"/>
  <c r="AY68" i="28"/>
  <c r="AY69" i="28"/>
  <c r="AY70" i="28"/>
  <c r="AY71" i="28"/>
  <c r="AY72" i="28"/>
  <c r="AY73" i="28"/>
  <c r="AY74" i="28"/>
  <c r="AY75" i="28"/>
  <c r="AY76" i="28"/>
  <c r="AY77" i="28"/>
  <c r="AY78" i="28"/>
  <c r="AY79" i="28"/>
  <c r="AY80" i="28"/>
  <c r="AY81" i="28"/>
  <c r="AY82" i="28"/>
  <c r="AY83" i="28"/>
  <c r="AY84" i="28"/>
  <c r="AY85" i="28"/>
  <c r="AY86" i="28"/>
  <c r="AY87" i="28"/>
  <c r="AY88" i="28"/>
  <c r="AY89" i="28"/>
  <c r="AY90" i="28"/>
  <c r="AY91" i="28"/>
  <c r="AY92" i="28"/>
  <c r="AY93" i="28"/>
  <c r="AY94" i="28"/>
  <c r="AY95" i="28"/>
  <c r="AY96" i="28"/>
  <c r="AY97" i="28"/>
  <c r="AY98" i="28"/>
  <c r="AY99" i="28"/>
  <c r="AY100" i="28"/>
  <c r="AY101" i="28"/>
  <c r="AY102" i="28"/>
  <c r="AY103" i="28"/>
  <c r="AY104" i="28"/>
  <c r="AY105" i="28"/>
  <c r="AY106" i="28"/>
  <c r="AY107" i="28"/>
  <c r="AY108" i="28"/>
  <c r="AY109" i="28"/>
  <c r="AY110" i="28"/>
  <c r="AY111" i="28"/>
  <c r="AY112" i="28"/>
  <c r="AY113" i="28"/>
  <c r="AY114" i="28"/>
  <c r="AY115" i="28"/>
  <c r="AY116" i="28"/>
  <c r="AY117" i="28"/>
  <c r="AY118" i="28"/>
  <c r="AY119" i="28"/>
  <c r="AY120" i="28"/>
  <c r="AY121" i="28"/>
  <c r="AY122" i="28"/>
  <c r="AY123" i="28"/>
  <c r="AY124" i="28"/>
  <c r="AY125" i="28"/>
  <c r="AY126" i="28"/>
  <c r="AY127" i="28"/>
  <c r="AY128" i="28"/>
  <c r="AY129" i="28"/>
  <c r="AY130" i="28"/>
  <c r="AY131" i="28"/>
  <c r="AY132" i="28"/>
  <c r="AY133" i="28"/>
  <c r="AY134" i="28"/>
  <c r="AY135" i="28"/>
  <c r="AY136" i="28"/>
  <c r="AY137" i="28"/>
  <c r="AY138" i="28"/>
  <c r="AY139" i="28"/>
  <c r="AY140" i="28"/>
  <c r="AY141" i="28"/>
  <c r="AY142" i="28"/>
  <c r="AY143" i="28"/>
  <c r="AY144" i="28"/>
  <c r="AY145" i="28"/>
  <c r="AY146" i="28"/>
  <c r="AY147" i="28"/>
  <c r="AY148" i="28"/>
  <c r="AY149" i="28"/>
  <c r="AY150" i="28"/>
  <c r="AY151" i="28"/>
  <c r="AY152" i="28"/>
  <c r="AY153" i="28"/>
  <c r="AY154" i="28"/>
  <c r="AY155" i="28"/>
  <c r="AY156" i="28"/>
  <c r="AY157" i="28"/>
  <c r="AY158" i="28"/>
  <c r="AY159" i="28"/>
  <c r="AY160" i="28"/>
  <c r="AY161" i="28"/>
  <c r="AY162" i="28"/>
  <c r="AY163" i="28"/>
  <c r="AY164" i="28"/>
  <c r="AY165" i="28"/>
  <c r="AY166" i="28"/>
  <c r="AY167" i="28"/>
  <c r="AY168" i="28"/>
  <c r="AY169" i="28"/>
  <c r="AY170" i="28"/>
  <c r="AY171" i="28"/>
  <c r="AY172" i="28"/>
  <c r="AY173" i="28"/>
  <c r="AY174" i="28"/>
  <c r="AY175" i="28"/>
  <c r="AY176" i="28"/>
  <c r="AY177" i="28"/>
  <c r="AY178" i="28"/>
  <c r="AY179" i="28"/>
  <c r="AY180" i="28"/>
  <c r="AY181" i="28"/>
  <c r="AY182" i="28"/>
  <c r="AY183" i="28"/>
  <c r="AY184" i="28"/>
  <c r="AY185" i="28"/>
  <c r="AY186" i="28"/>
  <c r="AY187" i="28"/>
  <c r="AY188" i="28"/>
  <c r="AY189" i="28"/>
  <c r="AY190" i="28"/>
  <c r="AY191" i="28"/>
  <c r="AY192" i="28"/>
  <c r="AY193" i="28"/>
  <c r="AY194" i="28"/>
  <c r="AY195" i="28"/>
  <c r="AY196" i="28"/>
  <c r="AY197" i="28"/>
  <c r="AY198" i="28"/>
  <c r="AY199" i="28"/>
  <c r="AY200" i="28"/>
  <c r="AY201" i="28"/>
  <c r="AY202" i="28"/>
  <c r="AY203" i="28"/>
  <c r="AY204" i="28"/>
  <c r="AY205" i="28"/>
  <c r="AY206" i="28"/>
  <c r="AY207" i="28"/>
  <c r="AY208" i="28"/>
  <c r="AY209" i="28"/>
  <c r="AY210" i="28"/>
  <c r="AY211" i="28"/>
  <c r="AY212" i="28"/>
  <c r="AY213" i="28"/>
  <c r="AY214" i="28"/>
  <c r="AY215" i="28"/>
  <c r="AY216" i="28"/>
  <c r="AY217" i="28"/>
  <c r="AY218" i="28"/>
  <c r="AY219" i="28"/>
  <c r="AY220" i="28"/>
  <c r="AY221" i="28"/>
  <c r="AY222" i="28"/>
  <c r="AY223" i="28"/>
  <c r="AY224" i="28"/>
  <c r="AY225" i="28"/>
  <c r="AY226" i="28"/>
  <c r="AY227" i="28"/>
  <c r="AY228" i="28"/>
  <c r="AY229" i="28"/>
  <c r="AY230" i="28"/>
  <c r="AY231" i="28"/>
  <c r="AY232" i="28"/>
  <c r="AY233" i="28"/>
  <c r="AY234" i="28"/>
  <c r="AY235" i="28"/>
  <c r="AY236" i="28"/>
  <c r="AY237" i="28"/>
  <c r="AY238" i="28"/>
  <c r="AY239" i="28"/>
  <c r="AY240" i="28"/>
  <c r="AY241" i="28"/>
  <c r="AY242" i="28"/>
  <c r="AY243" i="28"/>
  <c r="AY244" i="28"/>
  <c r="AY245" i="28"/>
  <c r="AY246" i="28"/>
  <c r="AY247" i="28"/>
  <c r="AY248" i="28"/>
  <c r="AY249" i="28"/>
  <c r="AY250" i="28"/>
  <c r="AY251" i="28"/>
  <c r="AY252" i="28"/>
  <c r="AY253" i="28"/>
  <c r="AY254" i="28"/>
  <c r="AY255" i="28"/>
  <c r="AY256" i="28"/>
  <c r="AY257" i="28"/>
  <c r="AY258" i="28"/>
  <c r="AY259" i="28"/>
  <c r="AY260" i="28"/>
  <c r="AY261" i="28"/>
  <c r="AY262" i="28"/>
  <c r="AY263" i="28"/>
  <c r="AY264" i="28"/>
  <c r="AY265" i="28"/>
  <c r="AY266" i="28"/>
  <c r="AY267" i="28"/>
  <c r="AY268" i="28"/>
  <c r="AY269" i="28"/>
  <c r="AY270" i="28"/>
  <c r="AY271" i="28"/>
  <c r="AY272" i="28"/>
  <c r="AY273" i="28"/>
  <c r="AY274" i="28"/>
  <c r="AY275" i="28"/>
  <c r="AY276" i="28"/>
  <c r="AY277" i="28"/>
  <c r="AY278" i="28"/>
  <c r="AY279" i="28"/>
  <c r="AY280" i="28"/>
  <c r="AY282" i="28"/>
  <c r="AY284" i="28"/>
  <c r="AY285" i="28"/>
  <c r="AY286" i="28"/>
  <c r="AY287" i="28"/>
  <c r="AY288" i="28"/>
  <c r="AY289" i="28"/>
  <c r="AY291" i="28"/>
  <c r="AY292" i="28"/>
  <c r="AY294" i="28"/>
  <c r="AY295" i="28"/>
  <c r="AY296" i="28"/>
  <c r="AY297" i="28"/>
  <c r="AY298" i="28"/>
  <c r="AY299" i="28"/>
  <c r="AY300" i="28"/>
  <c r="AY301" i="28"/>
  <c r="AY302" i="28"/>
  <c r="AY303" i="28"/>
  <c r="AY304" i="28"/>
  <c r="AY305" i="28"/>
  <c r="AY306" i="28"/>
  <c r="AY307" i="28"/>
  <c r="AY308" i="28"/>
  <c r="AY309" i="28"/>
  <c r="AY310" i="28"/>
  <c r="AY311" i="28"/>
  <c r="AY312" i="28"/>
  <c r="AY313" i="28"/>
  <c r="AY314" i="28"/>
  <c r="AY315" i="28"/>
  <c r="AY316" i="28"/>
  <c r="AY317" i="28"/>
  <c r="AY318" i="28"/>
  <c r="AY319" i="28"/>
  <c r="AY320" i="28"/>
  <c r="AY321" i="28"/>
  <c r="AY322" i="28"/>
  <c r="AY323" i="28"/>
  <c r="AY324" i="28"/>
  <c r="AY325" i="28"/>
  <c r="AY326" i="28"/>
  <c r="AY327" i="28"/>
  <c r="AY328" i="28"/>
  <c r="AY329" i="28"/>
  <c r="AY330" i="28"/>
  <c r="AY331" i="28"/>
  <c r="AY332" i="28"/>
  <c r="AY333" i="28"/>
  <c r="AY334" i="28"/>
  <c r="AY335" i="28"/>
  <c r="AY336" i="28"/>
  <c r="AY337" i="28"/>
  <c r="AY338" i="28"/>
  <c r="AY339" i="28"/>
  <c r="AY340" i="28"/>
  <c r="AY341" i="28"/>
  <c r="AY342" i="28"/>
  <c r="AY343" i="28"/>
  <c r="AY344" i="28"/>
  <c r="AY345" i="28"/>
  <c r="AY346" i="28"/>
  <c r="AY347" i="28"/>
  <c r="AY348" i="28"/>
  <c r="AY349" i="28"/>
  <c r="AY350" i="28"/>
  <c r="AY351" i="28"/>
  <c r="AY352" i="28"/>
  <c r="AY353" i="28"/>
  <c r="AY354" i="28"/>
  <c r="AY355" i="28"/>
  <c r="AY356" i="28"/>
  <c r="AY357" i="28"/>
  <c r="AY358" i="28"/>
  <c r="AY359" i="28"/>
  <c r="AY360" i="28"/>
  <c r="AY361" i="28"/>
  <c r="AY362" i="28"/>
  <c r="AY363" i="28"/>
  <c r="AY364" i="28"/>
  <c r="AY365" i="28"/>
  <c r="AY366" i="28"/>
  <c r="AY367" i="28"/>
  <c r="AY368" i="28"/>
  <c r="AY369" i="28"/>
  <c r="AY370" i="28"/>
  <c r="AY371" i="28"/>
  <c r="AY372" i="28"/>
  <c r="AY373" i="28"/>
  <c r="AY374" i="28"/>
  <c r="AY375" i="28"/>
  <c r="AY376" i="28"/>
  <c r="AY377" i="28"/>
  <c r="AY378" i="28"/>
  <c r="AY379" i="28"/>
  <c r="AY380" i="28"/>
  <c r="AY381" i="28"/>
  <c r="AY382" i="28"/>
  <c r="AY383" i="28"/>
  <c r="AY384" i="28"/>
  <c r="AY385" i="28"/>
  <c r="AY386" i="28"/>
  <c r="AY387" i="28"/>
  <c r="AY388" i="28"/>
  <c r="AY389" i="28"/>
  <c r="AY390" i="28"/>
  <c r="AY391" i="28"/>
  <c r="AY392" i="28"/>
  <c r="AY393" i="28"/>
  <c r="AY394" i="28"/>
  <c r="AY395" i="28"/>
  <c r="AY396" i="28"/>
  <c r="AY397" i="28"/>
  <c r="AY398" i="28"/>
  <c r="AY399" i="28"/>
  <c r="AY400" i="28"/>
  <c r="AY401" i="28"/>
  <c r="AY402" i="28"/>
  <c r="AY403" i="28"/>
  <c r="AY404" i="28"/>
  <c r="AY405" i="28"/>
  <c r="AY406" i="28"/>
  <c r="AY407" i="28"/>
  <c r="AY408" i="28"/>
  <c r="AY410" i="28"/>
  <c r="AY411" i="28"/>
  <c r="AY412" i="28"/>
  <c r="AY413" i="28"/>
  <c r="AY418" i="28"/>
  <c r="AY419" i="28"/>
  <c r="AY420" i="28"/>
  <c r="AY421" i="28"/>
  <c r="AY422" i="28"/>
  <c r="AY423" i="28"/>
  <c r="AY424" i="28"/>
  <c r="AY425" i="28"/>
  <c r="AY426" i="28"/>
  <c r="AY429" i="28"/>
  <c r="AY430" i="28"/>
  <c r="AY431" i="28"/>
  <c r="AY432" i="28"/>
  <c r="AY433" i="28"/>
  <c r="AY434" i="28"/>
  <c r="AY435" i="28"/>
  <c r="AY436" i="28"/>
  <c r="AY437" i="28"/>
  <c r="AY438" i="28"/>
  <c r="AY439" i="28"/>
  <c r="AY440" i="28"/>
  <c r="AY441" i="28"/>
  <c r="AY442" i="28"/>
  <c r="AY443" i="28"/>
  <c r="AY444" i="28"/>
  <c r="AY445" i="28"/>
  <c r="AY446" i="28"/>
  <c r="AY447" i="28"/>
  <c r="AY448" i="28"/>
  <c r="AY449" i="28"/>
  <c r="AY450" i="28"/>
  <c r="AY451" i="28"/>
  <c r="AY452" i="28"/>
  <c r="AY453" i="28"/>
  <c r="AY454" i="28"/>
  <c r="AY455" i="28"/>
  <c r="AY456" i="28"/>
  <c r="AY457" i="28"/>
  <c r="AY458" i="28"/>
  <c r="AY459" i="28"/>
  <c r="AY460" i="28"/>
  <c r="AY461" i="28"/>
  <c r="AY462" i="28"/>
  <c r="AY463" i="28"/>
  <c r="AY464" i="28"/>
  <c r="AY465" i="28"/>
  <c r="AY466" i="28"/>
  <c r="AY467" i="28"/>
  <c r="AY468" i="28"/>
  <c r="AY469" i="28"/>
  <c r="AY470" i="28"/>
  <c r="AY471" i="28"/>
  <c r="AY472" i="28"/>
  <c r="AY473" i="28"/>
  <c r="AY474" i="28"/>
  <c r="AY475" i="28"/>
  <c r="AY476" i="28"/>
  <c r="AY477" i="28"/>
  <c r="AY478" i="28"/>
  <c r="AY479" i="28"/>
  <c r="AY480" i="28"/>
  <c r="AY481" i="28"/>
  <c r="AY482" i="28"/>
  <c r="AY483" i="28"/>
  <c r="AY484" i="28"/>
  <c r="AY485" i="28"/>
  <c r="AY486" i="28"/>
  <c r="AY487" i="28"/>
  <c r="AY488" i="28"/>
  <c r="AY489" i="28"/>
  <c r="AY490" i="28"/>
  <c r="AY491" i="28"/>
  <c r="AY492" i="28"/>
  <c r="AY493" i="28"/>
  <c r="AY494" i="28"/>
  <c r="AY495" i="28"/>
  <c r="AY496" i="28"/>
  <c r="AY497" i="28"/>
  <c r="AY498" i="28"/>
  <c r="AY499" i="28"/>
  <c r="AY500" i="28"/>
  <c r="AY501" i="28"/>
  <c r="AY502" i="28"/>
  <c r="AY503" i="28"/>
  <c r="AY504" i="28"/>
  <c r="AY505" i="28"/>
  <c r="AY506" i="28"/>
  <c r="AY507" i="28"/>
  <c r="AY508" i="28"/>
  <c r="AY510" i="28"/>
  <c r="AY511" i="28"/>
  <c r="AY512" i="28"/>
  <c r="AY513" i="28"/>
  <c r="AY514" i="28"/>
  <c r="AY515" i="28"/>
  <c r="AY516" i="28"/>
  <c r="AY517" i="28"/>
  <c r="AY518" i="28"/>
  <c r="AY519" i="28"/>
  <c r="AY520" i="28"/>
  <c r="AY521" i="28"/>
  <c r="AY522" i="28"/>
  <c r="AY523" i="28"/>
  <c r="AY524" i="28"/>
  <c r="AY525" i="28"/>
  <c r="AY526" i="28"/>
  <c r="AY527" i="28"/>
  <c r="AY528" i="28"/>
  <c r="AY529" i="28"/>
  <c r="AY530" i="28"/>
  <c r="AY531" i="28"/>
  <c r="AY532" i="28"/>
  <c r="AY533" i="28"/>
  <c r="AY534" i="28"/>
  <c r="AY535" i="28"/>
  <c r="AY536" i="28"/>
  <c r="AY537" i="28"/>
  <c r="AY538" i="28"/>
  <c r="AY539" i="28"/>
  <c r="AY540" i="28"/>
  <c r="AY541" i="28"/>
  <c r="AY542" i="28"/>
  <c r="AY543" i="28"/>
  <c r="AY544" i="28"/>
  <c r="AY545" i="28"/>
  <c r="AY546" i="28"/>
  <c r="AY547" i="28"/>
  <c r="AY548" i="28"/>
  <c r="AY549" i="28"/>
  <c r="AY550" i="28"/>
  <c r="AY551" i="28"/>
  <c r="AY552" i="28"/>
  <c r="AY553" i="28"/>
  <c r="AY554" i="28"/>
  <c r="AY555" i="28"/>
  <c r="AY556" i="28"/>
  <c r="AY557" i="28"/>
  <c r="AY558" i="28"/>
  <c r="AY559" i="28"/>
  <c r="AY560" i="28"/>
  <c r="AY561" i="28"/>
  <c r="AY562" i="28"/>
  <c r="AY563" i="28"/>
  <c r="AY564" i="28"/>
  <c r="AY565" i="28"/>
  <c r="AY566" i="28"/>
  <c r="AY567" i="28"/>
  <c r="AY568" i="28"/>
  <c r="AY569" i="28"/>
  <c r="AY570" i="28"/>
  <c r="AY571" i="28"/>
  <c r="AY572" i="28"/>
  <c r="AY573" i="28"/>
  <c r="AY574" i="28"/>
  <c r="AY575" i="28"/>
  <c r="AY576" i="28"/>
  <c r="AY577" i="28"/>
  <c r="AY578" i="28"/>
  <c r="AY579" i="28"/>
  <c r="AY580" i="28"/>
  <c r="AY581" i="28"/>
  <c r="AY582" i="28"/>
  <c r="AY583" i="28"/>
  <c r="AY584" i="28"/>
  <c r="AY585" i="28"/>
  <c r="AY586" i="28"/>
  <c r="AY587" i="28"/>
  <c r="AY588" i="28"/>
  <c r="AY589" i="28"/>
  <c r="AY590" i="28"/>
  <c r="AY591" i="28"/>
  <c r="AY592" i="28"/>
  <c r="AY593" i="28"/>
  <c r="AY594" i="28"/>
  <c r="AY595" i="28"/>
  <c r="AY596" i="28"/>
  <c r="AY597" i="28"/>
  <c r="AY598" i="28"/>
  <c r="AY599" i="28"/>
  <c r="AY600" i="28"/>
  <c r="AY601" i="28"/>
  <c r="AY602" i="28"/>
  <c r="AY603" i="28"/>
  <c r="AY604" i="28"/>
  <c r="AY605" i="28"/>
  <c r="AY606" i="28"/>
  <c r="AY607" i="28"/>
  <c r="AY608" i="28"/>
  <c r="AY609" i="28"/>
  <c r="AY610" i="28"/>
  <c r="AY611" i="28"/>
  <c r="AY612" i="28"/>
  <c r="AY613" i="28"/>
  <c r="AY614" i="28"/>
  <c r="AY615" i="28"/>
  <c r="AY617" i="28"/>
  <c r="AY618" i="28"/>
  <c r="AY619" i="28"/>
  <c r="AY620" i="28"/>
  <c r="AY621" i="28"/>
  <c r="AY622" i="28"/>
  <c r="AY623" i="28"/>
  <c r="AY624" i="28"/>
  <c r="AY625" i="28"/>
  <c r="AY626" i="28"/>
  <c r="AY627" i="28"/>
  <c r="AY628" i="28"/>
  <c r="AY629" i="28"/>
  <c r="AY630" i="28"/>
  <c r="AY631" i="28"/>
  <c r="AY632" i="28"/>
  <c r="AY633" i="28"/>
  <c r="AY634" i="28"/>
  <c r="AY635" i="28"/>
  <c r="AY636" i="28"/>
  <c r="AY637" i="28"/>
  <c r="AY638" i="28"/>
  <c r="AY639" i="28"/>
  <c r="AY640" i="28"/>
  <c r="AY641" i="28"/>
  <c r="AY642" i="28"/>
  <c r="AY643" i="28"/>
  <c r="AY644" i="28"/>
  <c r="AY645" i="28"/>
  <c r="AY646" i="28"/>
  <c r="AY647" i="28"/>
  <c r="AY648" i="28"/>
  <c r="AY649" i="28"/>
  <c r="AY650" i="28"/>
  <c r="AY651" i="28"/>
  <c r="AY652" i="28"/>
  <c r="AY653" i="28"/>
  <c r="AY654" i="28"/>
  <c r="AY655" i="28"/>
  <c r="AY656" i="28"/>
  <c r="AY657" i="28"/>
  <c r="AY658" i="28"/>
  <c r="AY659" i="28"/>
  <c r="AY660" i="28"/>
  <c r="AY661" i="28"/>
  <c r="AY662" i="28"/>
  <c r="AY663" i="28"/>
  <c r="AY664" i="28"/>
  <c r="AY665" i="28"/>
  <c r="AY666" i="28"/>
  <c r="AY667" i="28"/>
  <c r="AY668" i="28"/>
  <c r="AY669" i="28"/>
  <c r="AY670" i="28"/>
  <c r="AY671" i="28"/>
  <c r="AY672" i="28"/>
  <c r="AY673" i="28"/>
  <c r="AY674" i="28"/>
  <c r="AY675" i="28"/>
  <c r="AY676" i="28"/>
  <c r="AY677" i="28"/>
  <c r="AY678" i="28"/>
  <c r="AY679" i="28"/>
  <c r="AY680" i="28"/>
  <c r="AY681" i="28"/>
  <c r="AY682" i="28"/>
  <c r="AY683" i="28"/>
  <c r="AY684" i="28"/>
  <c r="AY685" i="28"/>
  <c r="AY686" i="28"/>
  <c r="AY687" i="28"/>
  <c r="AY688" i="28"/>
  <c r="AY689" i="28"/>
  <c r="AY690" i="28"/>
  <c r="AY691" i="28"/>
  <c r="AY692" i="28"/>
  <c r="AY693" i="28"/>
  <c r="AY694" i="28"/>
  <c r="AY695" i="28"/>
  <c r="AY696" i="28"/>
  <c r="AY697" i="28"/>
  <c r="AY698" i="28"/>
  <c r="AY699" i="28"/>
  <c r="AY700" i="28"/>
  <c r="AY701" i="28"/>
  <c r="AY702" i="28"/>
  <c r="AY703" i="28"/>
  <c r="AY704" i="28"/>
  <c r="AY705" i="28"/>
  <c r="AY706" i="28"/>
  <c r="AY707" i="28"/>
  <c r="AY708" i="28"/>
  <c r="AY709" i="28"/>
  <c r="AY710" i="28"/>
  <c r="AY711" i="28"/>
  <c r="AY712" i="28"/>
  <c r="AY713" i="28"/>
  <c r="AY714" i="28"/>
  <c r="AY715" i="28"/>
  <c r="AY716" i="28"/>
  <c r="AY717" i="28"/>
  <c r="AY718" i="28"/>
  <c r="AY719" i="28"/>
  <c r="AY720" i="28"/>
  <c r="AY721" i="28"/>
  <c r="AY722" i="28"/>
  <c r="AY723" i="28"/>
  <c r="AY724" i="28"/>
  <c r="AY725" i="28"/>
  <c r="AY726" i="28"/>
  <c r="AY727" i="28"/>
  <c r="AY728" i="28"/>
  <c r="AY729" i="28"/>
  <c r="AY730" i="28"/>
  <c r="AY731" i="28"/>
  <c r="AY732" i="28"/>
  <c r="AY733" i="28"/>
  <c r="AY734" i="28"/>
  <c r="AY735" i="28"/>
  <c r="AY736" i="28"/>
  <c r="AY737" i="28"/>
  <c r="AY738" i="28"/>
  <c r="AY739" i="28"/>
  <c r="AY740" i="28"/>
  <c r="AY741" i="28"/>
  <c r="AY742" i="28"/>
  <c r="AY743" i="28"/>
  <c r="AY744" i="28"/>
  <c r="AY745" i="28"/>
  <c r="AY746" i="28"/>
  <c r="AY747" i="28"/>
  <c r="AY748" i="28"/>
  <c r="AY749" i="28"/>
  <c r="AY750" i="28"/>
  <c r="AY751" i="28"/>
  <c r="AY752" i="28"/>
  <c r="AY753" i="28"/>
  <c r="AY754" i="28"/>
  <c r="AY755" i="28"/>
  <c r="AY756" i="28"/>
  <c r="AY757" i="28"/>
  <c r="AY758" i="28"/>
  <c r="AY759" i="28"/>
  <c r="AY760" i="28"/>
  <c r="AY761" i="28"/>
  <c r="AY762" i="28"/>
  <c r="AY763" i="28"/>
  <c r="AY764" i="28"/>
  <c r="AY765" i="28"/>
  <c r="AY766" i="28"/>
  <c r="AY767" i="28"/>
  <c r="AY768" i="28"/>
  <c r="AY769" i="28"/>
  <c r="AY770" i="28"/>
  <c r="AY771" i="28"/>
  <c r="AY772" i="28"/>
  <c r="AY773" i="28"/>
  <c r="AY774" i="28"/>
  <c r="AY775" i="28"/>
  <c r="AY776" i="28"/>
  <c r="AY777" i="28"/>
  <c r="AY778" i="28"/>
  <c r="AY779" i="28"/>
  <c r="AY780" i="28"/>
  <c r="AY781" i="28"/>
  <c r="AY782" i="28"/>
  <c r="AY783" i="28"/>
  <c r="AY784" i="28"/>
  <c r="AY785" i="28"/>
  <c r="AY786" i="28"/>
  <c r="AY787" i="28"/>
  <c r="AY788" i="28"/>
  <c r="AY789" i="28"/>
  <c r="AY790" i="28"/>
  <c r="AY791" i="28"/>
  <c r="AY792" i="28"/>
  <c r="AY793" i="28"/>
  <c r="AY794" i="28"/>
  <c r="AY795" i="28"/>
  <c r="AY796" i="28"/>
  <c r="AY797" i="28"/>
  <c r="AY798" i="28"/>
  <c r="AY799" i="28"/>
  <c r="AY800" i="28"/>
  <c r="AY801" i="28"/>
  <c r="AY802" i="28"/>
  <c r="AY803" i="28"/>
  <c r="AY804" i="28"/>
  <c r="AY805" i="28"/>
  <c r="AY806" i="28"/>
  <c r="AY807" i="28"/>
  <c r="AY808" i="28"/>
  <c r="AY809" i="28"/>
  <c r="AY810" i="28"/>
  <c r="AY811" i="28"/>
  <c r="AY812" i="28"/>
  <c r="AY813" i="28"/>
  <c r="AY814" i="28"/>
  <c r="AY815" i="28"/>
  <c r="AY816" i="28"/>
  <c r="AY817" i="28"/>
  <c r="AY818" i="28"/>
  <c r="AY819" i="28"/>
  <c r="AY820" i="28"/>
  <c r="AY821" i="28"/>
  <c r="AY822" i="28"/>
  <c r="AY823" i="28"/>
  <c r="AY824" i="28"/>
  <c r="AY825" i="28"/>
  <c r="AY826" i="28"/>
  <c r="AY827" i="28"/>
  <c r="AY828" i="28"/>
  <c r="AY829" i="28"/>
  <c r="AY830" i="28"/>
  <c r="AY831" i="28"/>
  <c r="AY832" i="28"/>
  <c r="AY833" i="28"/>
  <c r="AY834" i="28"/>
  <c r="AY835" i="28"/>
  <c r="AY836" i="28"/>
  <c r="AY837" i="28"/>
  <c r="AY838" i="28"/>
  <c r="AY839" i="28"/>
  <c r="AY840" i="28"/>
  <c r="AY841" i="28"/>
  <c r="AY842" i="28"/>
  <c r="AY843" i="28"/>
  <c r="AY845" i="28"/>
  <c r="AY846" i="28"/>
  <c r="R1042" i="28"/>
  <c r="T1042" i="28"/>
  <c r="L45" i="35"/>
  <c r="L5" i="15"/>
  <c r="AZ846" i="28"/>
  <c r="AZ845" i="28"/>
  <c r="AZ843" i="28"/>
  <c r="L842" i="28"/>
  <c r="AZ842" i="28"/>
  <c r="AZ841" i="28"/>
  <c r="L840" i="28"/>
  <c r="AZ840" i="28"/>
  <c r="AZ839" i="28"/>
  <c r="AZ838" i="28"/>
  <c r="AZ837" i="28"/>
  <c r="AZ836" i="28"/>
  <c r="AZ835" i="28"/>
  <c r="AZ834" i="28"/>
  <c r="AZ833" i="28"/>
  <c r="AZ832" i="28"/>
  <c r="AZ831" i="28"/>
  <c r="AZ830" i="28"/>
  <c r="AZ829" i="28"/>
  <c r="AZ828" i="28"/>
  <c r="L827" i="28"/>
  <c r="AZ827" i="28"/>
  <c r="L826" i="28"/>
  <c r="AZ826" i="28"/>
  <c r="L825" i="28"/>
  <c r="AZ825" i="28"/>
  <c r="R1074" i="28"/>
  <c r="R1075" i="28"/>
  <c r="R1076" i="28"/>
  <c r="R1077" i="28"/>
  <c r="R1078" i="28"/>
  <c r="R1079" i="28"/>
  <c r="R1080" i="28"/>
  <c r="R1081" i="28"/>
  <c r="R1082" i="28"/>
  <c r="R1083" i="28"/>
  <c r="R1084" i="28"/>
  <c r="R1085" i="28"/>
  <c r="R1086" i="28"/>
  <c r="R1087" i="28"/>
  <c r="R1088" i="28"/>
  <c r="R1089" i="28"/>
  <c r="R1090" i="28"/>
  <c r="R1091" i="28"/>
  <c r="R1092" i="28"/>
  <c r="R1093" i="28"/>
  <c r="R1094" i="28"/>
  <c r="R1095" i="28"/>
  <c r="R1096" i="28"/>
  <c r="R1097" i="28"/>
  <c r="R1104" i="28"/>
  <c r="R1105" i="28"/>
  <c r="R1106" i="28"/>
  <c r="R1107" i="28"/>
  <c r="R1108" i="28"/>
  <c r="R1109" i="28"/>
  <c r="R1110" i="28"/>
  <c r="AZ824" i="28"/>
  <c r="AZ823" i="28"/>
  <c r="AZ822" i="28"/>
  <c r="L821" i="28"/>
  <c r="AZ821" i="28"/>
  <c r="AZ820" i="28"/>
  <c r="L819" i="28"/>
  <c r="AZ819" i="28"/>
  <c r="AZ818" i="28"/>
  <c r="AZ817" i="28"/>
  <c r="AZ816" i="28"/>
  <c r="AZ815" i="28"/>
  <c r="AZ814" i="28"/>
  <c r="AZ813" i="28"/>
  <c r="AZ812" i="28"/>
  <c r="AZ811" i="28"/>
  <c r="AZ810" i="28"/>
  <c r="L809" i="28"/>
  <c r="AZ809" i="28"/>
  <c r="L808" i="28"/>
  <c r="AZ808" i="28"/>
  <c r="AZ807" i="28"/>
  <c r="AZ806" i="28"/>
  <c r="AZ805" i="28"/>
  <c r="AZ804" i="28"/>
  <c r="L803" i="28"/>
  <c r="AZ803" i="28"/>
  <c r="L13" i="37"/>
  <c r="L19" i="36"/>
  <c r="L9" i="7"/>
  <c r="L35" i="36"/>
  <c r="I1065" i="28"/>
  <c r="I1066" i="28"/>
  <c r="I1067" i="28"/>
  <c r="I1068" i="28"/>
  <c r="I1069" i="28"/>
  <c r="I1070" i="28"/>
  <c r="I1071" i="28"/>
  <c r="I1072" i="28"/>
  <c r="I1073" i="28"/>
  <c r="I1074" i="28"/>
  <c r="M9" i="21"/>
  <c r="M13" i="21"/>
  <c r="L91" i="35"/>
  <c r="L9" i="15"/>
  <c r="L10" i="37"/>
  <c r="L9" i="37"/>
  <c r="O81" i="35"/>
  <c r="N81" i="35"/>
  <c r="M81" i="35"/>
  <c r="L4" i="21"/>
  <c r="AZ802" i="28"/>
  <c r="AZ801" i="28"/>
  <c r="AZ800" i="28"/>
  <c r="L799" i="28"/>
  <c r="AZ799" i="28"/>
  <c r="AZ798" i="28"/>
  <c r="L797" i="28"/>
  <c r="AZ797" i="28"/>
  <c r="AZ796" i="28"/>
  <c r="AZ795" i="28"/>
  <c r="AZ794" i="28"/>
  <c r="AZ793" i="28"/>
  <c r="AZ792" i="28"/>
  <c r="AZ791" i="28"/>
  <c r="AZ790" i="28"/>
  <c r="L789" i="28"/>
  <c r="AZ789" i="28"/>
  <c r="L788" i="28"/>
  <c r="AZ788" i="28"/>
  <c r="AZ787" i="28"/>
  <c r="AZ786" i="28"/>
  <c r="AZ785" i="28"/>
  <c r="AZ784" i="28"/>
  <c r="AZ783" i="28"/>
  <c r="AZ782" i="28"/>
  <c r="L781" i="28"/>
  <c r="AZ781" i="28"/>
  <c r="AZ780" i="28"/>
  <c r="AZ779" i="28"/>
  <c r="AZ778" i="28"/>
  <c r="AZ777" i="28"/>
  <c r="AZ776" i="28"/>
  <c r="L775" i="28"/>
  <c r="AZ775" i="28"/>
  <c r="L774" i="28"/>
  <c r="AZ774" i="28"/>
  <c r="AZ773" i="28"/>
  <c r="AZ772" i="28"/>
  <c r="AZ771" i="28"/>
  <c r="L8" i="7"/>
  <c r="L44" i="35"/>
  <c r="L770" i="28"/>
  <c r="AZ770" i="28"/>
  <c r="AZ769" i="28"/>
  <c r="AZ768" i="28"/>
  <c r="AZ767" i="28"/>
  <c r="AZ766" i="28"/>
  <c r="L16" i="25"/>
  <c r="L10" i="15"/>
  <c r="H683" i="28"/>
  <c r="L14" i="11"/>
  <c r="M14" i="11"/>
  <c r="AZ765" i="28"/>
  <c r="AZ764" i="28"/>
  <c r="AZ763" i="28"/>
  <c r="AZ762" i="28"/>
  <c r="AZ761" i="28"/>
  <c r="AZ760" i="28"/>
  <c r="AZ759" i="28"/>
  <c r="L758" i="28"/>
  <c r="AZ758" i="28"/>
  <c r="AZ757" i="28"/>
  <c r="AZ756" i="28"/>
  <c r="L755" i="28"/>
  <c r="AZ755" i="28"/>
  <c r="AZ754" i="28"/>
  <c r="AZ753" i="28"/>
  <c r="AZ752" i="28"/>
  <c r="AZ751" i="28"/>
  <c r="AZ750" i="28"/>
  <c r="AZ749" i="28"/>
  <c r="L12" i="37"/>
  <c r="L30" i="36"/>
  <c r="O7" i="27"/>
  <c r="N7" i="27"/>
  <c r="M7" i="27"/>
  <c r="L8" i="25"/>
  <c r="L6" i="21"/>
  <c r="L11" i="37"/>
  <c r="M16" i="21"/>
  <c r="AZ748" i="28"/>
  <c r="AZ747" i="28"/>
  <c r="AZ746" i="28"/>
  <c r="AZ745" i="28"/>
  <c r="AZ744" i="28"/>
  <c r="AZ743" i="28"/>
  <c r="AZ742" i="28"/>
  <c r="AZ741" i="28"/>
  <c r="L740" i="28"/>
  <c r="AZ740" i="28"/>
  <c r="AZ739" i="28"/>
  <c r="AZ738" i="28"/>
  <c r="AZ737" i="28"/>
  <c r="AZ736" i="28"/>
  <c r="L735" i="28"/>
  <c r="AZ735" i="28"/>
  <c r="AZ734" i="28"/>
  <c r="AZ733" i="28"/>
  <c r="AZ732" i="28"/>
  <c r="AZ731" i="28"/>
  <c r="L730" i="28"/>
  <c r="AZ730" i="28"/>
  <c r="AZ729" i="28"/>
  <c r="L728" i="28"/>
  <c r="AZ728" i="28"/>
  <c r="AZ727" i="28"/>
  <c r="AZ726" i="28"/>
  <c r="AZ725" i="28"/>
  <c r="AZ724" i="28"/>
  <c r="AZ723" i="28"/>
  <c r="AZ722" i="28"/>
  <c r="L721" i="28"/>
  <c r="AZ721" i="28"/>
  <c r="AZ720" i="28"/>
  <c r="AZ719" i="28"/>
  <c r="AZ718" i="28"/>
  <c r="AZ717" i="28"/>
  <c r="AZ716" i="28"/>
  <c r="AZ715" i="28"/>
  <c r="AZ714" i="28"/>
  <c r="AZ713" i="28"/>
  <c r="AZ712" i="28"/>
  <c r="AZ711" i="28"/>
  <c r="AZ710" i="28"/>
  <c r="AZ709" i="28"/>
  <c r="AZ708" i="28"/>
  <c r="L707" i="28"/>
  <c r="AZ707" i="28"/>
  <c r="AZ706" i="28"/>
  <c r="AZ705" i="28"/>
  <c r="AZ704" i="28"/>
  <c r="AZ703" i="28"/>
  <c r="AZ702" i="28"/>
  <c r="L701" i="28"/>
  <c r="AZ701" i="28"/>
  <c r="AZ700" i="28"/>
  <c r="AZ699" i="28"/>
  <c r="AZ698" i="28"/>
  <c r="AZ697" i="28"/>
  <c r="AZ696" i="28"/>
  <c r="AZ695" i="28"/>
  <c r="AZ694" i="28"/>
  <c r="L693" i="28"/>
  <c r="AZ693" i="28"/>
  <c r="AZ692" i="28"/>
  <c r="AZ691" i="28"/>
  <c r="AZ690" i="28"/>
  <c r="AZ689" i="28"/>
  <c r="L688" i="28"/>
  <c r="AZ688" i="28"/>
  <c r="AZ687" i="28"/>
  <c r="AZ686" i="28"/>
  <c r="AZ685" i="28"/>
  <c r="AZ684" i="28"/>
  <c r="AZ682" i="28"/>
  <c r="AZ681" i="28"/>
  <c r="L680" i="28"/>
  <c r="AZ680" i="28"/>
  <c r="M20" i="21"/>
  <c r="L84" i="35"/>
  <c r="L10" i="11"/>
  <c r="L5" i="21"/>
  <c r="M6" i="11"/>
  <c r="H62" i="15"/>
  <c r="L32" i="21"/>
  <c r="L31" i="21"/>
  <c r="L35" i="21"/>
  <c r="L36" i="21"/>
  <c r="L37" i="21"/>
  <c r="L38" i="21"/>
  <c r="L39" i="21"/>
  <c r="L53" i="21"/>
  <c r="L54" i="21"/>
  <c r="L55" i="21"/>
  <c r="L56" i="21"/>
  <c r="L57" i="21"/>
  <c r="L71" i="21"/>
  <c r="H71" i="21"/>
  <c r="L72" i="21"/>
  <c r="AZ434" i="28"/>
  <c r="O6" i="27"/>
  <c r="N6" i="27"/>
  <c r="M6" i="27"/>
  <c r="O5" i="27"/>
  <c r="N5" i="27"/>
  <c r="M5" i="27"/>
  <c r="L40" i="25"/>
  <c r="L29" i="35"/>
  <c r="L7" i="11"/>
  <c r="L32" i="36"/>
  <c r="M22" i="21"/>
  <c r="L679" i="28"/>
  <c r="AZ679" i="28"/>
  <c r="AZ678" i="28"/>
  <c r="AZ677" i="28"/>
  <c r="AZ676" i="28"/>
  <c r="AZ675" i="28"/>
  <c r="AZ674" i="28"/>
  <c r="AZ673" i="28"/>
  <c r="AZ672" i="28"/>
  <c r="AZ671" i="28"/>
  <c r="AZ670" i="28"/>
  <c r="AZ669" i="28"/>
  <c r="AZ668" i="28"/>
  <c r="L667" i="28"/>
  <c r="AZ667" i="28"/>
  <c r="AZ666" i="28"/>
  <c r="AZ665" i="28"/>
  <c r="L664" i="28"/>
  <c r="AZ664" i="28"/>
  <c r="AZ663" i="28"/>
  <c r="AZ662" i="28"/>
  <c r="AZ661" i="28"/>
  <c r="L660" i="28"/>
  <c r="AZ660" i="28"/>
  <c r="AZ659" i="28"/>
  <c r="AZ658" i="28"/>
  <c r="AZ657" i="28"/>
  <c r="AZ656" i="28"/>
  <c r="AZ655" i="28"/>
  <c r="AZ654" i="28"/>
  <c r="AZ653" i="28"/>
  <c r="AZ652" i="28"/>
  <c r="L651" i="28"/>
  <c r="AZ651" i="28"/>
  <c r="L650" i="28"/>
  <c r="AZ650" i="28"/>
  <c r="AZ649" i="28"/>
  <c r="AZ648" i="28"/>
  <c r="L647" i="28"/>
  <c r="AZ647" i="28"/>
  <c r="AZ646" i="28"/>
  <c r="L645" i="28"/>
  <c r="AZ645" i="28"/>
  <c r="L644" i="28"/>
  <c r="AZ644" i="28"/>
  <c r="AZ643" i="28"/>
  <c r="AZ642" i="28"/>
  <c r="AZ641" i="28"/>
  <c r="AZ640" i="28"/>
  <c r="L639" i="28"/>
  <c r="AZ639" i="28"/>
  <c r="L638" i="28"/>
  <c r="AZ638" i="28"/>
  <c r="L637" i="28"/>
  <c r="AZ637" i="28"/>
  <c r="AZ636" i="28"/>
  <c r="AZ635" i="28"/>
  <c r="L634" i="28"/>
  <c r="AZ634" i="28"/>
  <c r="AZ633" i="28"/>
  <c r="AZ632" i="28"/>
  <c r="AZ631" i="28"/>
  <c r="L630" i="28"/>
  <c r="AZ630" i="28"/>
  <c r="L629" i="28"/>
  <c r="AZ629" i="28"/>
  <c r="L29" i="36"/>
  <c r="L25" i="36"/>
  <c r="O90" i="35"/>
  <c r="N90" i="35"/>
  <c r="M90" i="35"/>
  <c r="G1060" i="28"/>
  <c r="G1059" i="28"/>
  <c r="G1055" i="28"/>
  <c r="G1054" i="28"/>
  <c r="G1050" i="28"/>
  <c r="G1049" i="28"/>
  <c r="G1045" i="28"/>
  <c r="G1044" i="28"/>
  <c r="M8" i="11"/>
  <c r="L52" i="36"/>
  <c r="BA20" i="27"/>
  <c r="BA19" i="27"/>
  <c r="L10" i="25"/>
  <c r="AZ628" i="28"/>
  <c r="AZ627" i="28"/>
  <c r="AZ626" i="28"/>
  <c r="AZ625" i="28"/>
  <c r="AZ624" i="28"/>
  <c r="L623" i="28"/>
  <c r="AZ623" i="28"/>
  <c r="L622" i="28"/>
  <c r="AZ622" i="28"/>
  <c r="AZ621" i="28"/>
  <c r="L620" i="28"/>
  <c r="AZ620" i="28"/>
  <c r="L53" i="36"/>
  <c r="L32" i="37"/>
  <c r="L54" i="35"/>
  <c r="M10" i="21"/>
  <c r="L619" i="28"/>
  <c r="AZ619" i="28"/>
  <c r="L613" i="28"/>
  <c r="L616" i="28"/>
  <c r="AZ616" i="28"/>
  <c r="L611" i="28"/>
  <c r="AZ611" i="28"/>
  <c r="AZ618" i="28"/>
  <c r="AZ617" i="28"/>
  <c r="AZ615" i="28"/>
  <c r="AZ613" i="28"/>
  <c r="AZ614" i="28"/>
  <c r="AZ612" i="28"/>
  <c r="AZ610" i="28"/>
  <c r="AZ607" i="28"/>
  <c r="AZ606" i="28"/>
  <c r="AZ605" i="28"/>
  <c r="AZ603" i="28"/>
  <c r="AZ601" i="28"/>
  <c r="AZ598" i="28"/>
  <c r="AZ597" i="28"/>
  <c r="AZ596" i="28"/>
  <c r="AZ595" i="28"/>
  <c r="AZ594" i="28"/>
  <c r="AZ593" i="28"/>
  <c r="AZ592" i="28"/>
  <c r="AZ591" i="28"/>
  <c r="AZ590" i="28"/>
  <c r="AZ589" i="28"/>
  <c r="AZ587" i="28"/>
  <c r="AZ585" i="28"/>
  <c r="AZ584" i="28"/>
  <c r="AZ583" i="28"/>
  <c r="AZ580" i="28"/>
  <c r="AZ579" i="28"/>
  <c r="AZ577" i="28"/>
  <c r="AZ576" i="28"/>
  <c r="AZ574" i="28"/>
  <c r="AZ573" i="28"/>
  <c r="AZ572" i="28"/>
  <c r="AZ571" i="28"/>
  <c r="AZ569" i="28"/>
  <c r="AZ568" i="28"/>
  <c r="AZ565" i="28"/>
  <c r="AZ563" i="28"/>
  <c r="L609" i="28"/>
  <c r="AZ609" i="28"/>
  <c r="M11" i="36"/>
  <c r="M26" i="36"/>
  <c r="M49" i="35"/>
  <c r="O32" i="37"/>
  <c r="N32" i="37"/>
  <c r="O31" i="37"/>
  <c r="N31" i="37"/>
  <c r="O9" i="37"/>
  <c r="N9" i="37"/>
  <c r="O17" i="37"/>
  <c r="N17" i="37"/>
  <c r="O30" i="37"/>
  <c r="N30" i="37"/>
  <c r="O15" i="37"/>
  <c r="N15" i="37"/>
  <c r="O14" i="37"/>
  <c r="N14" i="37"/>
  <c r="O100" i="37"/>
  <c r="N100" i="37"/>
  <c r="O99" i="37"/>
  <c r="N99" i="37"/>
  <c r="O98" i="37"/>
  <c r="N98" i="37"/>
  <c r="O97" i="37"/>
  <c r="N97" i="37"/>
  <c r="O96" i="37"/>
  <c r="N96" i="37"/>
  <c r="O95" i="37"/>
  <c r="N95" i="37"/>
  <c r="O94" i="37"/>
  <c r="N94" i="37"/>
  <c r="O93" i="37"/>
  <c r="N93" i="37"/>
  <c r="O92" i="37"/>
  <c r="N92" i="37"/>
  <c r="O91" i="37"/>
  <c r="N91" i="37"/>
  <c r="O90" i="37"/>
  <c r="N90" i="37"/>
  <c r="O89" i="37"/>
  <c r="N89" i="37"/>
  <c r="O88" i="37"/>
  <c r="N88" i="37"/>
  <c r="O87" i="37"/>
  <c r="N87" i="37"/>
  <c r="O86" i="37"/>
  <c r="N86" i="37"/>
  <c r="O85" i="37"/>
  <c r="N85" i="37"/>
  <c r="O84" i="37"/>
  <c r="N84" i="37"/>
  <c r="O83" i="37"/>
  <c r="N83" i="37"/>
  <c r="O82" i="37"/>
  <c r="N82" i="37"/>
  <c r="O81" i="37"/>
  <c r="N81" i="37"/>
  <c r="O80" i="37"/>
  <c r="N80" i="37"/>
  <c r="O79" i="37"/>
  <c r="N79" i="37"/>
  <c r="O78" i="37"/>
  <c r="N78" i="37"/>
  <c r="O77" i="37"/>
  <c r="N77" i="37"/>
  <c r="O76" i="37"/>
  <c r="N76" i="37"/>
  <c r="O75" i="37"/>
  <c r="N75" i="37"/>
  <c r="O74" i="37"/>
  <c r="N74" i="37"/>
  <c r="O73" i="37"/>
  <c r="N73" i="37"/>
  <c r="O72" i="37"/>
  <c r="N72" i="37"/>
  <c r="O71" i="37"/>
  <c r="N71" i="37"/>
  <c r="O70" i="37"/>
  <c r="N70" i="37"/>
  <c r="O69" i="37"/>
  <c r="N69" i="37"/>
  <c r="O68" i="37"/>
  <c r="N68" i="37"/>
  <c r="O67" i="37"/>
  <c r="N67" i="37"/>
  <c r="O66" i="37"/>
  <c r="N66" i="37"/>
  <c r="O65" i="37"/>
  <c r="N65" i="37"/>
  <c r="O64" i="37"/>
  <c r="N64" i="37"/>
  <c r="O63" i="37"/>
  <c r="N63" i="37"/>
  <c r="O62" i="37"/>
  <c r="N62" i="37"/>
  <c r="O61" i="37"/>
  <c r="N61" i="37"/>
  <c r="O60" i="37"/>
  <c r="N60" i="37"/>
  <c r="O59" i="37"/>
  <c r="N59" i="37"/>
  <c r="O58" i="37"/>
  <c r="N58" i="37"/>
  <c r="O57" i="37"/>
  <c r="N57" i="37"/>
  <c r="O56" i="37"/>
  <c r="N56" i="37"/>
  <c r="O55" i="37"/>
  <c r="N55" i="37"/>
  <c r="O22" i="37"/>
  <c r="N22" i="37"/>
  <c r="O54" i="37"/>
  <c r="N54" i="37"/>
  <c r="O11" i="37"/>
  <c r="N11" i="37"/>
  <c r="O53" i="37"/>
  <c r="N53" i="37"/>
  <c r="O52" i="37"/>
  <c r="N52" i="37"/>
  <c r="O21" i="37"/>
  <c r="N21" i="37"/>
  <c r="O51" i="37"/>
  <c r="N51" i="37"/>
  <c r="O23" i="37"/>
  <c r="N23" i="37"/>
  <c r="O20" i="37"/>
  <c r="N20" i="37"/>
  <c r="O50" i="37"/>
  <c r="N50" i="37"/>
  <c r="O18" i="37"/>
  <c r="N18" i="37"/>
  <c r="O16" i="37"/>
  <c r="N16" i="37"/>
  <c r="O49" i="37"/>
  <c r="N49" i="37"/>
  <c r="O48" i="37"/>
  <c r="N48" i="37"/>
  <c r="O7" i="37"/>
  <c r="N7" i="37"/>
  <c r="O47" i="37"/>
  <c r="N47" i="37"/>
  <c r="O46" i="37"/>
  <c r="N46" i="37"/>
  <c r="O8" i="37"/>
  <c r="N8" i="37"/>
  <c r="O45" i="37"/>
  <c r="N45" i="37"/>
  <c r="O44" i="37"/>
  <c r="N44" i="37"/>
  <c r="O43" i="37"/>
  <c r="N43" i="37"/>
  <c r="O42" i="37"/>
  <c r="N42" i="37"/>
  <c r="O41" i="37"/>
  <c r="N41" i="37"/>
  <c r="O6" i="37"/>
  <c r="N6" i="37"/>
  <c r="O40" i="37"/>
  <c r="N40" i="37"/>
  <c r="O39" i="37"/>
  <c r="N39" i="37"/>
  <c r="O38" i="37"/>
  <c r="N38" i="37"/>
  <c r="O37" i="37"/>
  <c r="N37" i="37"/>
  <c r="O13" i="37"/>
  <c r="N13" i="37"/>
  <c r="O12" i="37"/>
  <c r="N12" i="37"/>
  <c r="O36" i="37"/>
  <c r="N36" i="37"/>
  <c r="O35" i="37"/>
  <c r="N35" i="37"/>
  <c r="O19" i="37"/>
  <c r="N19" i="37"/>
  <c r="O26" i="37"/>
  <c r="N26" i="37"/>
  <c r="O10" i="37"/>
  <c r="N10" i="37"/>
  <c r="O5" i="37"/>
  <c r="N5" i="37"/>
  <c r="L19" i="7"/>
  <c r="L608" i="28"/>
  <c r="AZ608" i="28"/>
  <c r="L600" i="28"/>
  <c r="AZ600" i="28"/>
  <c r="L599" i="28"/>
  <c r="AZ599" i="28"/>
  <c r="L35" i="25"/>
  <c r="L604" i="28"/>
  <c r="AZ604" i="28"/>
  <c r="L602" i="28"/>
  <c r="AZ602" i="28"/>
  <c r="L588" i="28"/>
  <c r="AZ588" i="28"/>
  <c r="L586" i="28"/>
  <c r="AZ586" i="28"/>
  <c r="L582" i="28"/>
  <c r="AZ582" i="28"/>
  <c r="L581" i="28"/>
  <c r="AZ581" i="28"/>
  <c r="L578" i="28"/>
  <c r="AZ578" i="28"/>
  <c r="L575" i="28"/>
  <c r="AZ575" i="28"/>
  <c r="L570" i="28"/>
  <c r="AZ570" i="28"/>
  <c r="L567" i="28"/>
  <c r="AZ567" i="28"/>
  <c r="L566" i="28"/>
  <c r="AZ566" i="28"/>
  <c r="L564" i="28"/>
  <c r="AZ564" i="28"/>
  <c r="AZ562" i="28"/>
  <c r="AZ561" i="28"/>
  <c r="AZ560" i="28"/>
  <c r="BA70" i="36"/>
  <c r="BA65" i="36"/>
  <c r="CH1110" i="28"/>
  <c r="M9" i="25"/>
  <c r="L65" i="3"/>
  <c r="O74" i="35"/>
  <c r="N74" i="35"/>
  <c r="M74" i="35"/>
  <c r="L6" i="36"/>
  <c r="L13" i="36"/>
  <c r="M14" i="36"/>
  <c r="O75" i="35"/>
  <c r="N75" i="35"/>
  <c r="M75" i="35"/>
  <c r="M24" i="35"/>
  <c r="M32" i="36"/>
  <c r="M84" i="35"/>
  <c r="M11" i="25"/>
  <c r="M6" i="25"/>
  <c r="M37" i="36"/>
  <c r="M17" i="37"/>
  <c r="O91" i="35"/>
  <c r="N91" i="35"/>
  <c r="M91" i="35"/>
  <c r="M18" i="25"/>
  <c r="M29" i="36"/>
  <c r="M53" i="36"/>
  <c r="M38" i="21"/>
  <c r="M55" i="21"/>
  <c r="L34" i="25"/>
  <c r="M34" i="25"/>
  <c r="L7" i="25"/>
  <c r="M7" i="25"/>
  <c r="AZ559" i="28"/>
  <c r="AZ558" i="28"/>
  <c r="AZ557" i="28"/>
  <c r="L556" i="28"/>
  <c r="AZ556" i="28"/>
  <c r="AZ555" i="28"/>
  <c r="AZ554" i="28"/>
  <c r="AZ553" i="28"/>
  <c r="AZ552" i="28"/>
  <c r="L551" i="28"/>
  <c r="AZ551" i="28"/>
  <c r="L550" i="28"/>
  <c r="AZ550" i="28"/>
  <c r="AZ549" i="28"/>
  <c r="AZ548" i="28"/>
  <c r="L547" i="28"/>
  <c r="AZ547" i="28"/>
  <c r="AZ546" i="28"/>
  <c r="L545" i="28"/>
  <c r="AZ545" i="28"/>
  <c r="L544" i="28"/>
  <c r="AZ544" i="28"/>
  <c r="AZ543" i="28"/>
  <c r="AZ542" i="28"/>
  <c r="AZ541" i="28"/>
  <c r="AZ509" i="28"/>
  <c r="L526" i="28"/>
  <c r="AZ526" i="28"/>
  <c r="L532" i="28"/>
  <c r="AZ532" i="28"/>
  <c r="L529" i="28"/>
  <c r="AZ529" i="28"/>
  <c r="AZ540" i="28"/>
  <c r="L539" i="28"/>
  <c r="AZ539" i="28"/>
  <c r="AZ538" i="28"/>
  <c r="AZ537" i="28"/>
  <c r="AZ536" i="28"/>
  <c r="AZ535" i="28"/>
  <c r="AZ534" i="28"/>
  <c r="AZ533" i="28"/>
  <c r="AZ531" i="28"/>
  <c r="AZ530" i="28"/>
  <c r="AZ528" i="28"/>
  <c r="AZ527" i="28"/>
  <c r="AZ525" i="28"/>
  <c r="AZ524" i="28"/>
  <c r="AZ523" i="28"/>
  <c r="AZ522" i="28"/>
  <c r="AZ521" i="28"/>
  <c r="AZ520" i="28"/>
  <c r="AZ519" i="28"/>
  <c r="AZ518" i="28"/>
  <c r="AZ517" i="28"/>
  <c r="AZ516" i="28"/>
  <c r="AZ515" i="28"/>
  <c r="L514" i="28"/>
  <c r="AZ514" i="28"/>
  <c r="AZ513" i="28"/>
  <c r="AZ512" i="28"/>
  <c r="AZ511" i="28"/>
  <c r="AZ510" i="28"/>
  <c r="AZ508" i="28"/>
  <c r="AZ507" i="28"/>
  <c r="AZ506" i="28"/>
  <c r="AZ505" i="28"/>
  <c r="AZ504" i="28"/>
  <c r="AZ503" i="28"/>
  <c r="AZ502" i="28"/>
  <c r="AZ501" i="28"/>
  <c r="AZ500" i="28"/>
  <c r="L499" i="28"/>
  <c r="AZ499" i="28"/>
  <c r="AZ498" i="28"/>
  <c r="AZ497" i="28"/>
  <c r="AZ496" i="28"/>
  <c r="AZ495" i="28"/>
  <c r="AZ494" i="28"/>
  <c r="AZ493" i="28"/>
  <c r="AZ492" i="28"/>
  <c r="L491" i="28"/>
  <c r="AZ491" i="28"/>
  <c r="AZ490" i="28"/>
  <c r="L489" i="28"/>
  <c r="AZ489" i="28"/>
  <c r="L488" i="28"/>
  <c r="AZ488" i="28"/>
  <c r="L487" i="28"/>
  <c r="AZ487" i="28"/>
  <c r="AZ486" i="28"/>
  <c r="AZ485" i="28"/>
  <c r="AZ484" i="28"/>
  <c r="AZ483" i="28"/>
  <c r="AZ482" i="28"/>
  <c r="AZ481" i="28"/>
  <c r="L480" i="28"/>
  <c r="AZ480" i="28"/>
  <c r="L479" i="28"/>
  <c r="AZ479" i="28"/>
  <c r="L478" i="28"/>
  <c r="AZ478" i="28"/>
  <c r="L477" i="28"/>
  <c r="AZ477" i="28"/>
  <c r="L476" i="28"/>
  <c r="AZ476" i="28"/>
  <c r="AZ475" i="28"/>
  <c r="AZ474" i="28"/>
  <c r="AZ473" i="28"/>
  <c r="AZ472" i="28"/>
  <c r="L471" i="28"/>
  <c r="AZ471" i="28"/>
  <c r="AZ470" i="28"/>
  <c r="AZ469" i="28"/>
  <c r="AZ468" i="28"/>
  <c r="AZ467" i="28"/>
  <c r="AZ466" i="28"/>
  <c r="H563" i="28"/>
  <c r="M10" i="36"/>
  <c r="L49" i="36"/>
  <c r="M49" i="36"/>
  <c r="M8" i="36"/>
  <c r="M7" i="15"/>
  <c r="M19" i="36"/>
  <c r="M28" i="25"/>
  <c r="L5" i="25"/>
  <c r="L36" i="25"/>
  <c r="L33" i="25"/>
  <c r="L4" i="25"/>
  <c r="L74" i="25"/>
  <c r="H74" i="25"/>
  <c r="L75" i="25"/>
  <c r="M10" i="25"/>
  <c r="M33" i="25"/>
  <c r="AZ465" i="28"/>
  <c r="AZ464" i="28"/>
  <c r="L463" i="28"/>
  <c r="AZ463" i="28"/>
  <c r="AZ462" i="28"/>
  <c r="L461" i="28"/>
  <c r="AZ461" i="28"/>
  <c r="AZ460" i="28"/>
  <c r="AZ459" i="28"/>
  <c r="AZ458" i="28"/>
  <c r="AZ457" i="28"/>
  <c r="AZ456" i="28"/>
  <c r="L455" i="28"/>
  <c r="AZ455" i="28"/>
  <c r="AZ454" i="28"/>
  <c r="L453" i="28"/>
  <c r="AZ453" i="28"/>
  <c r="L452" i="28"/>
  <c r="AZ452" i="28"/>
  <c r="AZ451" i="28"/>
  <c r="AZ450" i="28"/>
  <c r="AZ449" i="28"/>
  <c r="L448" i="28"/>
  <c r="AZ448" i="28"/>
  <c r="AZ447" i="28"/>
  <c r="AZ446" i="28"/>
  <c r="AZ445" i="28"/>
  <c r="AZ444" i="28"/>
  <c r="AZ443" i="28"/>
  <c r="AZ442" i="28"/>
  <c r="AZ441" i="28"/>
  <c r="AZ440" i="28"/>
  <c r="L439" i="28"/>
  <c r="AZ439" i="28"/>
  <c r="AZ438" i="28"/>
  <c r="AZ437" i="28"/>
  <c r="L436" i="28"/>
  <c r="AZ436" i="28"/>
  <c r="AZ435" i="28"/>
  <c r="AZ433" i="28"/>
  <c r="AZ432" i="28"/>
  <c r="AZ431" i="28"/>
  <c r="M4" i="3"/>
  <c r="L51" i="36"/>
  <c r="M51" i="36"/>
  <c r="M25" i="36"/>
  <c r="M11" i="21"/>
  <c r="L50" i="36"/>
  <c r="M50" i="36"/>
  <c r="M24" i="36"/>
  <c r="N17" i="21"/>
  <c r="M17" i="21"/>
  <c r="BC25" i="37"/>
  <c r="BC24" i="37"/>
  <c r="L430" i="28"/>
  <c r="AZ430" i="28"/>
  <c r="L426" i="28"/>
  <c r="AZ426" i="28"/>
  <c r="L419" i="28"/>
  <c r="AZ419" i="28"/>
  <c r="AZ427" i="28"/>
  <c r="BA16" i="21"/>
  <c r="O16" i="21"/>
  <c r="N16" i="21"/>
  <c r="L415" i="28"/>
  <c r="AZ428" i="28"/>
  <c r="AZ6" i="28"/>
  <c r="AZ7" i="28"/>
  <c r="AZ8" i="28"/>
  <c r="L9" i="28"/>
  <c r="AZ9" i="28"/>
  <c r="AZ10" i="28"/>
  <c r="AZ11" i="28"/>
  <c r="AZ12" i="28"/>
  <c r="AZ13" i="28"/>
  <c r="AZ14" i="28"/>
  <c r="AZ15" i="28"/>
  <c r="AZ16" i="28"/>
  <c r="AZ17" i="28"/>
  <c r="AZ18" i="28"/>
  <c r="AZ19" i="28"/>
  <c r="AZ20" i="28"/>
  <c r="AZ21" i="28"/>
  <c r="AZ22" i="28"/>
  <c r="AZ23" i="28"/>
  <c r="AZ24" i="28"/>
  <c r="AZ25" i="28"/>
  <c r="AZ26" i="28"/>
  <c r="AZ27" i="28"/>
  <c r="AZ28" i="28"/>
  <c r="AZ29" i="28"/>
  <c r="AZ30" i="28"/>
  <c r="AZ31" i="28"/>
  <c r="AZ32" i="28"/>
  <c r="AZ33" i="28"/>
  <c r="AZ34" i="28"/>
  <c r="AZ35" i="28"/>
  <c r="AZ36" i="28"/>
  <c r="L37" i="28"/>
  <c r="AZ37" i="28"/>
  <c r="AZ38" i="28"/>
  <c r="AZ39" i="28"/>
  <c r="AZ40" i="28"/>
  <c r="AZ41" i="28"/>
  <c r="AZ42" i="28"/>
  <c r="AZ43" i="28"/>
  <c r="L44" i="28"/>
  <c r="AZ44" i="28"/>
  <c r="AZ45" i="28"/>
  <c r="AZ46" i="28"/>
  <c r="AZ47" i="28"/>
  <c r="AZ48" i="28"/>
  <c r="AZ49" i="28"/>
  <c r="AZ50" i="28"/>
  <c r="AZ51" i="28"/>
  <c r="AZ52" i="28"/>
  <c r="AZ53" i="28"/>
  <c r="AZ54" i="28"/>
  <c r="AZ55" i="28"/>
  <c r="AZ56" i="28"/>
  <c r="AZ57" i="28"/>
  <c r="AZ58" i="28"/>
  <c r="AZ59" i="28"/>
  <c r="AZ60" i="28"/>
  <c r="AZ61" i="28"/>
  <c r="AZ62" i="28"/>
  <c r="AZ63" i="28"/>
  <c r="AZ64" i="28"/>
  <c r="AZ65" i="28"/>
  <c r="AZ66" i="28"/>
  <c r="AZ67" i="28"/>
  <c r="AZ68" i="28"/>
  <c r="AZ69" i="28"/>
  <c r="AZ70" i="28"/>
  <c r="AZ71" i="28"/>
  <c r="AZ72" i="28"/>
  <c r="AZ73" i="28"/>
  <c r="L74" i="28"/>
  <c r="AZ74" i="28"/>
  <c r="AZ75" i="28"/>
  <c r="AZ76" i="28"/>
  <c r="L77" i="28"/>
  <c r="AZ77" i="28"/>
  <c r="AZ78" i="28"/>
  <c r="L79" i="28"/>
  <c r="AZ79" i="28"/>
  <c r="AZ80" i="28"/>
  <c r="AZ81" i="28"/>
  <c r="AZ82" i="28"/>
  <c r="AZ83" i="28"/>
  <c r="AZ84" i="28"/>
  <c r="AZ85" i="28"/>
  <c r="AZ86" i="28"/>
  <c r="AZ87" i="28"/>
  <c r="AZ88" i="28"/>
  <c r="AZ89" i="28"/>
  <c r="AZ90" i="28"/>
  <c r="AZ91" i="28"/>
  <c r="AZ92" i="28"/>
  <c r="AZ93" i="28"/>
  <c r="AZ94" i="28"/>
  <c r="AZ95" i="28"/>
  <c r="AZ96" i="28"/>
  <c r="AZ97" i="28"/>
  <c r="AZ98" i="28"/>
  <c r="AZ99" i="28"/>
  <c r="AZ100" i="28"/>
  <c r="L101" i="28"/>
  <c r="AZ101" i="28"/>
  <c r="AZ102" i="28"/>
  <c r="AZ103" i="28"/>
  <c r="AZ104" i="28"/>
  <c r="AZ105" i="28"/>
  <c r="AZ106" i="28"/>
  <c r="AZ107" i="28"/>
  <c r="AZ108" i="28"/>
  <c r="AZ109" i="28"/>
  <c r="AZ110" i="28"/>
  <c r="AZ111" i="28"/>
  <c r="AZ112" i="28"/>
  <c r="AZ113" i="28"/>
  <c r="AZ114" i="28"/>
  <c r="AZ115" i="28"/>
  <c r="AZ116" i="28"/>
  <c r="AZ117" i="28"/>
  <c r="AZ118" i="28"/>
  <c r="AZ119" i="28"/>
  <c r="AZ120" i="28"/>
  <c r="AZ121" i="28"/>
  <c r="AZ122" i="28"/>
  <c r="AZ123" i="28"/>
  <c r="L124" i="28"/>
  <c r="AZ124" i="28"/>
  <c r="L125" i="28"/>
  <c r="AZ125" i="28"/>
  <c r="AZ126" i="28"/>
  <c r="AZ127" i="28"/>
  <c r="AZ128" i="28"/>
  <c r="AZ129" i="28"/>
  <c r="AZ130" i="28"/>
  <c r="AZ131" i="28"/>
  <c r="AZ132" i="28"/>
  <c r="AZ133" i="28"/>
  <c r="AZ134" i="28"/>
  <c r="L135" i="28"/>
  <c r="AZ135" i="28"/>
  <c r="AZ136" i="28"/>
  <c r="AZ137" i="28"/>
  <c r="L138" i="28"/>
  <c r="AZ138" i="28"/>
  <c r="AZ139" i="28"/>
  <c r="AZ140" i="28"/>
  <c r="AZ141" i="28"/>
  <c r="AZ142" i="28"/>
  <c r="AZ143" i="28"/>
  <c r="AZ144" i="28"/>
  <c r="AZ145" i="28"/>
  <c r="L146" i="28"/>
  <c r="AZ146" i="28"/>
  <c r="AZ147" i="28"/>
  <c r="AZ148" i="28"/>
  <c r="AZ149" i="28"/>
  <c r="AZ150" i="28"/>
  <c r="AZ151" i="28"/>
  <c r="AZ152" i="28"/>
  <c r="AZ153" i="28"/>
  <c r="AZ154" i="28"/>
  <c r="AZ155" i="28"/>
  <c r="AZ156" i="28"/>
  <c r="AZ157" i="28"/>
  <c r="L158" i="28"/>
  <c r="AZ158" i="28"/>
  <c r="AZ159" i="28"/>
  <c r="AZ160" i="28"/>
  <c r="AZ161" i="28"/>
  <c r="AZ162" i="28"/>
  <c r="AZ163" i="28"/>
  <c r="AZ164" i="28"/>
  <c r="AZ165" i="28"/>
  <c r="AZ166" i="28"/>
  <c r="AZ167" i="28"/>
  <c r="AZ168" i="28"/>
  <c r="AZ169" i="28"/>
  <c r="AZ170" i="28"/>
  <c r="AZ171" i="28"/>
  <c r="AZ172" i="28"/>
  <c r="AZ173" i="28"/>
  <c r="AZ174" i="28"/>
  <c r="AZ175" i="28"/>
  <c r="AZ176" i="28"/>
  <c r="AZ177" i="28"/>
  <c r="AZ178" i="28"/>
  <c r="AZ179" i="28"/>
  <c r="AZ180" i="28"/>
  <c r="L181" i="28"/>
  <c r="AZ181" i="28"/>
  <c r="AZ182" i="28"/>
  <c r="AZ183" i="28"/>
  <c r="AZ184" i="28"/>
  <c r="L185" i="28"/>
  <c r="AZ185" i="28"/>
  <c r="AZ186" i="28"/>
  <c r="L187" i="28"/>
  <c r="AZ187" i="28"/>
  <c r="L188" i="28"/>
  <c r="AZ188" i="28"/>
  <c r="L189" i="28"/>
  <c r="AZ189" i="28"/>
  <c r="AZ190" i="28"/>
  <c r="AZ191" i="28"/>
  <c r="AZ192" i="28"/>
  <c r="AZ193" i="28"/>
  <c r="AZ194" i="28"/>
  <c r="AZ195" i="28"/>
  <c r="AZ196" i="28"/>
  <c r="AZ197" i="28"/>
  <c r="AZ198" i="28"/>
  <c r="AZ199" i="28"/>
  <c r="AZ200" i="28"/>
  <c r="AZ201" i="28"/>
  <c r="AZ202" i="28"/>
  <c r="AZ203" i="28"/>
  <c r="AZ204" i="28"/>
  <c r="AZ205" i="28"/>
  <c r="AZ207" i="28"/>
  <c r="AZ208" i="28"/>
  <c r="AZ209" i="28"/>
  <c r="AZ210" i="28"/>
  <c r="AZ211" i="28"/>
  <c r="AZ212" i="28"/>
  <c r="AZ213" i="28"/>
  <c r="AZ214" i="28"/>
  <c r="L215" i="28"/>
  <c r="AZ215" i="28"/>
  <c r="AZ216" i="28"/>
  <c r="AZ217" i="28"/>
  <c r="AZ218" i="28"/>
  <c r="AZ219" i="28"/>
  <c r="AZ220" i="28"/>
  <c r="AZ221" i="28"/>
  <c r="AZ222" i="28"/>
  <c r="AZ223" i="28"/>
  <c r="AZ224" i="28"/>
  <c r="L225" i="28"/>
  <c r="AZ225" i="28"/>
  <c r="AZ226" i="28"/>
  <c r="AZ227" i="28"/>
  <c r="AZ228" i="28"/>
  <c r="AZ229" i="28"/>
  <c r="AZ230" i="28"/>
  <c r="AZ231" i="28"/>
  <c r="L232" i="28"/>
  <c r="AZ232" i="28"/>
  <c r="AZ233" i="28"/>
  <c r="AZ234" i="28"/>
  <c r="AZ235" i="28"/>
  <c r="AZ236" i="28"/>
  <c r="AZ237" i="28"/>
  <c r="AZ238" i="28"/>
  <c r="AZ239" i="28"/>
  <c r="AZ240" i="28"/>
  <c r="L241" i="28"/>
  <c r="AZ241" i="28"/>
  <c r="L242" i="28"/>
  <c r="AZ242" i="28"/>
  <c r="AZ243" i="28"/>
  <c r="AZ244" i="28"/>
  <c r="AZ245" i="28"/>
  <c r="AZ246" i="28"/>
  <c r="AZ247" i="28"/>
  <c r="AZ248" i="28"/>
  <c r="AZ249" i="28"/>
  <c r="L250" i="28"/>
  <c r="AZ250" i="28"/>
  <c r="L251" i="28"/>
  <c r="AZ251" i="28"/>
  <c r="AZ252" i="28"/>
  <c r="AZ253" i="28"/>
  <c r="AZ254" i="28"/>
  <c r="AZ255" i="28"/>
  <c r="AZ256" i="28"/>
  <c r="AZ257" i="28"/>
  <c r="AZ258" i="28"/>
  <c r="AZ259" i="28"/>
  <c r="AZ260" i="28"/>
  <c r="AZ261" i="28"/>
  <c r="AZ262" i="28"/>
  <c r="AZ263" i="28"/>
  <c r="L264" i="28"/>
  <c r="AZ264" i="28"/>
  <c r="AZ265" i="28"/>
  <c r="AZ266" i="28"/>
  <c r="L267" i="28"/>
  <c r="AZ267" i="28"/>
  <c r="L268" i="28"/>
  <c r="AZ268" i="28"/>
  <c r="L269" i="28"/>
  <c r="AZ269" i="28"/>
  <c r="AZ270" i="28"/>
  <c r="AZ271" i="28"/>
  <c r="AZ272" i="28"/>
  <c r="AZ273" i="28"/>
  <c r="AZ274" i="28"/>
  <c r="AZ275" i="28"/>
  <c r="AZ276" i="28"/>
  <c r="AZ277" i="28"/>
  <c r="AZ278" i="28"/>
  <c r="AZ279" i="28"/>
  <c r="AZ280" i="28"/>
  <c r="AZ281" i="28"/>
  <c r="AZ282" i="28"/>
  <c r="AZ283" i="28"/>
  <c r="L284" i="28"/>
  <c r="AZ284" i="28"/>
  <c r="AZ285" i="28"/>
  <c r="AZ286" i="28"/>
  <c r="AZ287" i="28"/>
  <c r="AZ288" i="28"/>
  <c r="AZ289" i="28"/>
  <c r="L291" i="28"/>
  <c r="AZ291" i="28"/>
  <c r="L292" i="28"/>
  <c r="AZ292" i="28"/>
  <c r="L293" i="28"/>
  <c r="AZ293" i="28"/>
  <c r="AZ294" i="28"/>
  <c r="AZ295" i="28"/>
  <c r="L296" i="28"/>
  <c r="AZ296" i="28"/>
  <c r="AZ297" i="28"/>
  <c r="L298" i="28"/>
  <c r="AZ298" i="28"/>
  <c r="AZ299" i="28"/>
  <c r="AZ300" i="28"/>
  <c r="AZ301" i="28"/>
  <c r="AZ302" i="28"/>
  <c r="AZ303" i="28"/>
  <c r="L304" i="28"/>
  <c r="AZ304" i="28"/>
  <c r="L305" i="28"/>
  <c r="AZ305" i="28"/>
  <c r="AZ306" i="28"/>
  <c r="AZ307" i="28"/>
  <c r="AZ308" i="28"/>
  <c r="AZ309" i="28"/>
  <c r="L310" i="28"/>
  <c r="AZ310" i="28"/>
  <c r="AZ311" i="28"/>
  <c r="AZ312" i="28"/>
  <c r="AZ313" i="28"/>
  <c r="AZ314" i="28"/>
  <c r="AZ315" i="28"/>
  <c r="AZ316" i="28"/>
  <c r="AZ317" i="28"/>
  <c r="AZ318" i="28"/>
  <c r="AZ319" i="28"/>
  <c r="L320" i="28"/>
  <c r="AZ320" i="28"/>
  <c r="L321" i="28"/>
  <c r="AZ321" i="28"/>
  <c r="AZ322" i="28"/>
  <c r="AZ323" i="28"/>
  <c r="AZ324" i="28"/>
  <c r="AZ325" i="28"/>
  <c r="AZ326" i="28"/>
  <c r="AZ327" i="28"/>
  <c r="AZ328" i="28"/>
  <c r="AZ329" i="28"/>
  <c r="AZ330" i="28"/>
  <c r="AZ331" i="28"/>
  <c r="AZ332" i="28"/>
  <c r="AZ333" i="28"/>
  <c r="AZ334" i="28"/>
  <c r="L335" i="28"/>
  <c r="AZ335" i="28"/>
  <c r="AZ336" i="28"/>
  <c r="AZ337" i="28"/>
  <c r="AZ338" i="28"/>
  <c r="AZ339" i="28"/>
  <c r="AZ340" i="28"/>
  <c r="AZ341" i="28"/>
  <c r="AZ342" i="28"/>
  <c r="AZ343" i="28"/>
  <c r="AZ344" i="28"/>
  <c r="AZ345" i="28"/>
  <c r="AZ346" i="28"/>
  <c r="L347" i="28"/>
  <c r="AZ347" i="28"/>
  <c r="L348" i="28"/>
  <c r="AZ348" i="28"/>
  <c r="AZ349" i="28"/>
  <c r="AZ350" i="28"/>
  <c r="AZ351" i="28"/>
  <c r="AZ352" i="28"/>
  <c r="AZ353" i="28"/>
  <c r="AZ354" i="28"/>
  <c r="L355" i="28"/>
  <c r="AZ355" i="28"/>
  <c r="AZ356" i="28"/>
  <c r="AZ357" i="28"/>
  <c r="AZ358" i="28"/>
  <c r="AZ359" i="28"/>
  <c r="L360" i="28"/>
  <c r="AZ360" i="28"/>
  <c r="AZ361" i="28"/>
  <c r="AZ362" i="28"/>
  <c r="AZ363" i="28"/>
  <c r="AZ364" i="28"/>
  <c r="AZ365" i="28"/>
  <c r="AZ366" i="28"/>
  <c r="AZ367" i="28"/>
  <c r="AZ368" i="28"/>
  <c r="AZ369" i="28"/>
  <c r="AZ370" i="28"/>
  <c r="AZ371" i="28"/>
  <c r="AZ372" i="28"/>
  <c r="AZ373" i="28"/>
  <c r="AZ374" i="28"/>
  <c r="L375" i="28"/>
  <c r="AZ375" i="28"/>
  <c r="AZ376" i="28"/>
  <c r="AZ377" i="28"/>
  <c r="AZ378" i="28"/>
  <c r="AZ379" i="28"/>
  <c r="AZ380" i="28"/>
  <c r="AZ381" i="28"/>
  <c r="AZ382" i="28"/>
  <c r="AZ383" i="28"/>
  <c r="AZ384" i="28"/>
  <c r="L385" i="28"/>
  <c r="AZ385" i="28"/>
  <c r="AZ386" i="28"/>
  <c r="L387" i="28"/>
  <c r="AZ387" i="28"/>
  <c r="AZ388" i="28"/>
  <c r="L389" i="28"/>
  <c r="AZ389" i="28"/>
  <c r="AZ390" i="28"/>
  <c r="AZ391" i="28"/>
  <c r="AZ392" i="28"/>
  <c r="AZ393" i="28"/>
  <c r="AZ394" i="28"/>
  <c r="AZ395" i="28"/>
  <c r="AZ396" i="28"/>
  <c r="AZ397" i="28"/>
  <c r="AZ398" i="28"/>
  <c r="AZ399" i="28"/>
  <c r="AZ400" i="28"/>
  <c r="AZ401" i="28"/>
  <c r="AZ402" i="28"/>
  <c r="AZ403" i="28"/>
  <c r="L404" i="28"/>
  <c r="AZ404" i="28"/>
  <c r="AZ405" i="28"/>
  <c r="AZ406" i="28"/>
  <c r="AZ407" i="28"/>
  <c r="L408" i="28"/>
  <c r="AZ408" i="28"/>
  <c r="AZ410" i="28"/>
  <c r="L411" i="28"/>
  <c r="AZ411" i="28"/>
  <c r="AZ412" i="28"/>
  <c r="AZ413" i="28"/>
  <c r="AZ418" i="28"/>
  <c r="AZ420" i="28"/>
  <c r="AZ421" i="28"/>
  <c r="AZ422" i="28"/>
  <c r="AZ423" i="28"/>
  <c r="AZ424" i="28"/>
  <c r="AZ425" i="28"/>
  <c r="AZ429" i="28"/>
  <c r="M38" i="36"/>
  <c r="M4" i="36"/>
  <c r="L27" i="35"/>
  <c r="M27" i="35"/>
  <c r="L20" i="35"/>
  <c r="L46" i="36"/>
  <c r="M16" i="36"/>
  <c r="H380" i="28"/>
  <c r="O8" i="27"/>
  <c r="N8" i="27"/>
  <c r="M8" i="27"/>
  <c r="M72" i="35"/>
  <c r="M32" i="21"/>
  <c r="L43" i="36"/>
  <c r="L62" i="36"/>
  <c r="M62" i="36"/>
  <c r="L47" i="36"/>
  <c r="M47" i="36"/>
  <c r="O41" i="35"/>
  <c r="N41" i="35"/>
  <c r="M41" i="35"/>
  <c r="M18" i="21"/>
  <c r="M53" i="21"/>
  <c r="O40" i="25"/>
  <c r="N40" i="25"/>
  <c r="M40" i="25"/>
  <c r="L24" i="7"/>
  <c r="M24" i="7"/>
  <c r="M7" i="7"/>
  <c r="M12" i="7"/>
  <c r="L20" i="7"/>
  <c r="M20" i="7"/>
  <c r="L23" i="7"/>
  <c r="M23" i="7"/>
  <c r="L32" i="7"/>
  <c r="M32" i="7"/>
  <c r="L33" i="7"/>
  <c r="M6" i="7"/>
  <c r="L37" i="7"/>
  <c r="M37" i="7"/>
  <c r="L38" i="7"/>
  <c r="L27" i="7"/>
  <c r="M27" i="7"/>
  <c r="L28" i="7"/>
  <c r="L29" i="7"/>
  <c r="L30" i="7"/>
  <c r="L43" i="7"/>
  <c r="M43" i="7"/>
  <c r="L60" i="7"/>
  <c r="L36" i="7"/>
  <c r="M36" i="7"/>
  <c r="L42" i="7"/>
  <c r="L45" i="7"/>
  <c r="M45" i="7"/>
  <c r="L46" i="7"/>
  <c r="L47" i="7"/>
  <c r="M47" i="7"/>
  <c r="L48" i="7"/>
  <c r="L49" i="7"/>
  <c r="M49" i="7"/>
  <c r="L50" i="7"/>
  <c r="L51" i="7"/>
  <c r="M51" i="7"/>
  <c r="L52" i="7"/>
  <c r="M52" i="7"/>
  <c r="L53" i="7"/>
  <c r="M53" i="7"/>
  <c r="L54" i="7"/>
  <c r="L56" i="7"/>
  <c r="M56" i="7"/>
  <c r="L57" i="7"/>
  <c r="L58" i="7"/>
  <c r="M58" i="7"/>
  <c r="L59" i="7"/>
  <c r="L61" i="7"/>
  <c r="M61" i="7"/>
  <c r="L62" i="7"/>
  <c r="L63" i="7"/>
  <c r="L64" i="7"/>
  <c r="L65" i="7"/>
  <c r="M65" i="7"/>
  <c r="L66" i="7"/>
  <c r="M66" i="7"/>
  <c r="L101" i="7"/>
  <c r="M26" i="21"/>
  <c r="M6" i="35"/>
  <c r="M36" i="25"/>
  <c r="L48" i="36"/>
  <c r="L16" i="35"/>
  <c r="M16" i="35"/>
  <c r="L56" i="35"/>
  <c r="L14" i="35"/>
  <c r="L61" i="36"/>
  <c r="M61" i="36"/>
  <c r="BE28" i="27"/>
  <c r="BC28" i="27"/>
  <c r="BE27" i="27"/>
  <c r="BC27" i="27"/>
  <c r="L41" i="15"/>
  <c r="L62" i="35"/>
  <c r="M62" i="35"/>
  <c r="L58" i="2"/>
  <c r="O58" i="2"/>
  <c r="L63" i="36"/>
  <c r="M63" i="36"/>
  <c r="O72" i="35"/>
  <c r="N72" i="35"/>
  <c r="O28" i="25"/>
  <c r="N28" i="25"/>
  <c r="L39" i="11"/>
  <c r="BA42" i="25"/>
  <c r="BA41" i="25"/>
  <c r="M7" i="21"/>
  <c r="M5" i="35"/>
  <c r="L61" i="2"/>
  <c r="M65" i="3"/>
  <c r="M54" i="35"/>
  <c r="M35" i="36"/>
  <c r="BA103" i="28"/>
  <c r="L8" i="35"/>
  <c r="M8" i="35"/>
  <c r="L10" i="3"/>
  <c r="L58" i="36"/>
  <c r="M5" i="36"/>
  <c r="L60" i="36"/>
  <c r="M60" i="36"/>
  <c r="L28" i="35"/>
  <c r="M28" i="35"/>
  <c r="L52" i="1"/>
  <c r="L36" i="36"/>
  <c r="M36" i="36"/>
  <c r="O54" i="35"/>
  <c r="N54" i="35"/>
  <c r="M8" i="21"/>
  <c r="BA42" i="36"/>
  <c r="BA41" i="36"/>
  <c r="L59" i="36"/>
  <c r="M59" i="36"/>
  <c r="M5" i="3"/>
  <c r="L17" i="3"/>
  <c r="M17" i="3"/>
  <c r="L18" i="3"/>
  <c r="M18" i="3"/>
  <c r="L19" i="3"/>
  <c r="M19" i="3"/>
  <c r="L20" i="3"/>
  <c r="M20" i="3"/>
  <c r="L24" i="3"/>
  <c r="L16" i="3"/>
  <c r="M16" i="3"/>
  <c r="L79" i="3"/>
  <c r="L48" i="3"/>
  <c r="M48" i="3"/>
  <c r="L46" i="3"/>
  <c r="M46" i="3"/>
  <c r="L23" i="3"/>
  <c r="L28" i="3"/>
  <c r="M28" i="3"/>
  <c r="L29" i="3"/>
  <c r="M29" i="3"/>
  <c r="L30" i="3"/>
  <c r="L32" i="3"/>
  <c r="M32" i="3"/>
  <c r="L33" i="3"/>
  <c r="M33" i="3"/>
  <c r="L35" i="3"/>
  <c r="M35" i="3"/>
  <c r="L36" i="3"/>
  <c r="L37" i="3"/>
  <c r="M37" i="3"/>
  <c r="L38" i="3"/>
  <c r="L39" i="3"/>
  <c r="M39" i="3"/>
  <c r="L40" i="3"/>
  <c r="M40" i="3"/>
  <c r="L41" i="3"/>
  <c r="M41" i="3"/>
  <c r="L43" i="3"/>
  <c r="L45" i="3"/>
  <c r="M45" i="3"/>
  <c r="L47" i="3"/>
  <c r="L49" i="3"/>
  <c r="M49" i="3"/>
  <c r="L50" i="3"/>
  <c r="M50" i="3"/>
  <c r="L51" i="3"/>
  <c r="M51" i="3"/>
  <c r="L52" i="3"/>
  <c r="M52" i="3"/>
  <c r="L53" i="3"/>
  <c r="M53" i="3"/>
  <c r="L54" i="3"/>
  <c r="M54" i="3"/>
  <c r="L55" i="3"/>
  <c r="M55" i="3"/>
  <c r="L57" i="3"/>
  <c r="L58" i="3"/>
  <c r="M58" i="3"/>
  <c r="L59" i="3"/>
  <c r="M59" i="3"/>
  <c r="L60" i="3"/>
  <c r="M60" i="3"/>
  <c r="L61" i="3"/>
  <c r="L62" i="3"/>
  <c r="L63" i="3"/>
  <c r="L64" i="3"/>
  <c r="M64" i="3"/>
  <c r="L66" i="3"/>
  <c r="L67" i="3"/>
  <c r="M67" i="3"/>
  <c r="L68" i="3"/>
  <c r="L74" i="3"/>
  <c r="M74" i="3"/>
  <c r="L76" i="3"/>
  <c r="M76" i="3"/>
  <c r="L77" i="3"/>
  <c r="M77" i="3"/>
  <c r="L80" i="3"/>
  <c r="M80" i="3"/>
  <c r="L51" i="1"/>
  <c r="L34" i="1"/>
  <c r="L6" i="1"/>
  <c r="L7" i="1"/>
  <c r="L8" i="1"/>
  <c r="L9" i="1"/>
  <c r="L10" i="1"/>
  <c r="L11" i="1"/>
  <c r="L12" i="1"/>
  <c r="L13" i="1"/>
  <c r="L15" i="1"/>
  <c r="L16" i="1"/>
  <c r="L18" i="1"/>
  <c r="L20" i="1"/>
  <c r="L21" i="1"/>
  <c r="L22" i="1"/>
  <c r="L23" i="1"/>
  <c r="L26" i="1"/>
  <c r="L27" i="1"/>
  <c r="L30" i="1"/>
  <c r="L31" i="1"/>
  <c r="L32" i="1"/>
  <c r="L33" i="1"/>
  <c r="L35" i="1"/>
  <c r="L36" i="1"/>
  <c r="L37" i="1"/>
  <c r="L39" i="1"/>
  <c r="L41" i="1"/>
  <c r="L44" i="1"/>
  <c r="L46" i="1"/>
  <c r="L47" i="1"/>
  <c r="L48" i="1"/>
  <c r="L50" i="1"/>
  <c r="L53" i="1"/>
  <c r="L55" i="1"/>
  <c r="L56" i="1"/>
  <c r="L61" i="1"/>
  <c r="L65" i="1"/>
  <c r="L67" i="1"/>
  <c r="L68" i="1"/>
  <c r="L69" i="1"/>
  <c r="L70" i="1"/>
  <c r="L108" i="1"/>
  <c r="M4" i="21"/>
  <c r="L40" i="11"/>
  <c r="M40" i="11"/>
  <c r="M10" i="7"/>
  <c r="M33" i="7"/>
  <c r="M29" i="7"/>
  <c r="M28" i="7"/>
  <c r="M60" i="7"/>
  <c r="M50" i="7"/>
  <c r="M62" i="7"/>
  <c r="M63" i="7"/>
  <c r="H31" i="28"/>
  <c r="O55" i="35"/>
  <c r="N55" i="35"/>
  <c r="M55" i="35"/>
  <c r="BA25" i="21"/>
  <c r="BA24" i="21"/>
  <c r="BA27" i="21"/>
  <c r="BA28" i="21"/>
  <c r="BA30" i="15"/>
  <c r="BA29" i="15"/>
  <c r="O15" i="25"/>
  <c r="N15" i="25"/>
  <c r="M15" i="25"/>
  <c r="O22" i="25"/>
  <c r="N22" i="25"/>
  <c r="M22" i="25"/>
  <c r="BC62" i="25"/>
  <c r="BA62" i="25"/>
  <c r="M9" i="35"/>
  <c r="M9" i="11"/>
  <c r="L57" i="36"/>
  <c r="M57" i="36"/>
  <c r="L73" i="35"/>
  <c r="M73" i="35"/>
  <c r="L66" i="35"/>
  <c r="M66" i="35"/>
  <c r="L21" i="11"/>
  <c r="M21" i="11"/>
  <c r="L19" i="35"/>
  <c r="M19" i="35"/>
  <c r="L44" i="11"/>
  <c r="M44" i="11"/>
  <c r="M4" i="25"/>
  <c r="M100" i="37"/>
  <c r="M99" i="37"/>
  <c r="M98" i="37"/>
  <c r="M97" i="37"/>
  <c r="M96" i="37"/>
  <c r="M95" i="37"/>
  <c r="M94" i="37"/>
  <c r="M93" i="37"/>
  <c r="M92" i="37"/>
  <c r="M91" i="37"/>
  <c r="M90" i="37"/>
  <c r="M89" i="37"/>
  <c r="M88" i="37"/>
  <c r="M87" i="37"/>
  <c r="M86" i="37"/>
  <c r="M85" i="37"/>
  <c r="M84" i="37"/>
  <c r="M83" i="37"/>
  <c r="M82" i="37"/>
  <c r="M81" i="37"/>
  <c r="M80" i="37"/>
  <c r="M79" i="37"/>
  <c r="M78" i="37"/>
  <c r="M77" i="37"/>
  <c r="M76" i="37"/>
  <c r="M75" i="37"/>
  <c r="M74" i="37"/>
  <c r="M73" i="37"/>
  <c r="M72" i="37"/>
  <c r="M71" i="37"/>
  <c r="M70" i="37"/>
  <c r="M69" i="37"/>
  <c r="M68" i="37"/>
  <c r="M67" i="37"/>
  <c r="M66" i="37"/>
  <c r="M63" i="37"/>
  <c r="M65" i="37"/>
  <c r="M64" i="37"/>
  <c r="M62" i="37"/>
  <c r="M61" i="37"/>
  <c r="M60" i="37"/>
  <c r="M59" i="37"/>
  <c r="M58" i="37"/>
  <c r="M57" i="37"/>
  <c r="M56" i="37"/>
  <c r="M55" i="37"/>
  <c r="M22" i="37"/>
  <c r="M54" i="37"/>
  <c r="M11" i="37"/>
  <c r="M32" i="37"/>
  <c r="M53" i="37"/>
  <c r="M52" i="37"/>
  <c r="M21" i="37"/>
  <c r="M10" i="37"/>
  <c r="M51" i="37"/>
  <c r="M23" i="37"/>
  <c r="M20" i="37"/>
  <c r="M31" i="37"/>
  <c r="M19" i="37"/>
  <c r="M9" i="37"/>
  <c r="M26" i="37"/>
  <c r="M50" i="37"/>
  <c r="M18" i="37"/>
  <c r="M30" i="37"/>
  <c r="M15" i="37"/>
  <c r="M16" i="37"/>
  <c r="M49" i="37"/>
  <c r="M48" i="37"/>
  <c r="M7" i="37"/>
  <c r="M47" i="37"/>
  <c r="M46" i="37"/>
  <c r="M8" i="37"/>
  <c r="M45" i="37"/>
  <c r="M44" i="37"/>
  <c r="M14" i="37"/>
  <c r="M43" i="37"/>
  <c r="M42" i="37"/>
  <c r="M41" i="37"/>
  <c r="M6" i="37"/>
  <c r="M40" i="37"/>
  <c r="M39" i="37"/>
  <c r="M38" i="37"/>
  <c r="M37" i="37"/>
  <c r="M5" i="37"/>
  <c r="M13" i="37"/>
  <c r="M12" i="37"/>
  <c r="M36" i="37"/>
  <c r="M35" i="37"/>
  <c r="L67" i="35"/>
  <c r="L57" i="2"/>
  <c r="O57" i="2"/>
  <c r="M7" i="11"/>
  <c r="M37" i="21"/>
  <c r="L4" i="35"/>
  <c r="M4" i="35"/>
  <c r="L67" i="2"/>
  <c r="L12" i="2"/>
  <c r="L66" i="2"/>
  <c r="O66" i="2"/>
  <c r="L65" i="2"/>
  <c r="O65" i="2"/>
  <c r="L45" i="2"/>
  <c r="O45" i="2"/>
  <c r="L54" i="2"/>
  <c r="L51" i="2"/>
  <c r="O51" i="2"/>
  <c r="L29" i="2"/>
  <c r="O29" i="2"/>
  <c r="L15" i="2"/>
  <c r="O15" i="2"/>
  <c r="L18" i="2"/>
  <c r="L19" i="2"/>
  <c r="O19" i="2"/>
  <c r="L20" i="2"/>
  <c r="O20" i="2"/>
  <c r="L21" i="2"/>
  <c r="O21" i="2"/>
  <c r="L22" i="2"/>
  <c r="O22" i="2"/>
  <c r="L24" i="2"/>
  <c r="O24" i="2"/>
  <c r="L25" i="2"/>
  <c r="O25" i="2"/>
  <c r="L26" i="2"/>
  <c r="O26" i="2"/>
  <c r="L28" i="2"/>
  <c r="L33" i="2"/>
  <c r="O33" i="2"/>
  <c r="L34" i="2"/>
  <c r="O34" i="2"/>
  <c r="L35" i="2"/>
  <c r="O35" i="2"/>
  <c r="L36" i="2"/>
  <c r="O36" i="2"/>
  <c r="L37" i="2"/>
  <c r="O37" i="2"/>
  <c r="L38" i="2"/>
  <c r="O38" i="2"/>
  <c r="L42" i="2"/>
  <c r="O42" i="2"/>
  <c r="L44" i="2"/>
  <c r="O44" i="2"/>
  <c r="L46" i="2"/>
  <c r="O46" i="2"/>
  <c r="L47" i="2"/>
  <c r="L48" i="2"/>
  <c r="O48" i="2"/>
  <c r="L50" i="2"/>
  <c r="O50" i="2"/>
  <c r="L52" i="2"/>
  <c r="O52" i="2"/>
  <c r="L53" i="2"/>
  <c r="O53" i="2"/>
  <c r="L59" i="2"/>
  <c r="O59" i="2"/>
  <c r="L60" i="2"/>
  <c r="O60" i="2"/>
  <c r="L62" i="2"/>
  <c r="O62" i="2"/>
  <c r="L63" i="2"/>
  <c r="O63" i="2"/>
  <c r="L64" i="2"/>
  <c r="O64" i="2"/>
  <c r="L68" i="2"/>
  <c r="L70" i="2"/>
  <c r="O70" i="2"/>
  <c r="L71" i="2"/>
  <c r="O71" i="2"/>
  <c r="L72" i="2"/>
  <c r="O72" i="2"/>
  <c r="L73" i="2"/>
  <c r="O73" i="2"/>
  <c r="L74" i="2"/>
  <c r="O74" i="2"/>
  <c r="L78" i="2"/>
  <c r="O78" i="2"/>
  <c r="L79" i="2"/>
  <c r="O79" i="2"/>
  <c r="H108" i="2"/>
  <c r="L13" i="35"/>
  <c r="M79" i="3"/>
  <c r="L69" i="36"/>
  <c r="M69" i="36"/>
  <c r="L68" i="36"/>
  <c r="M68" i="36"/>
  <c r="I74" i="25"/>
  <c r="H76" i="25"/>
  <c r="M36" i="21"/>
  <c r="O38" i="36"/>
  <c r="N38" i="36"/>
  <c r="BA27" i="25"/>
  <c r="BA26" i="25"/>
  <c r="M20" i="35"/>
  <c r="L19" i="15"/>
  <c r="L32" i="35"/>
  <c r="M32" i="35"/>
  <c r="L26" i="15"/>
  <c r="M26" i="15"/>
  <c r="M14" i="21"/>
  <c r="M9" i="15"/>
  <c r="K119" i="36"/>
  <c r="J119" i="36"/>
  <c r="I119" i="36"/>
  <c r="H119" i="36"/>
  <c r="BA50" i="36"/>
  <c r="BA5" i="36"/>
  <c r="BA6" i="36"/>
  <c r="BA59" i="36"/>
  <c r="BA17" i="36"/>
  <c r="BA46" i="36"/>
  <c r="BA69" i="36"/>
  <c r="BA57" i="36"/>
  <c r="BA68" i="36"/>
  <c r="BA7" i="36"/>
  <c r="BA8" i="36"/>
  <c r="BA10" i="36"/>
  <c r="BA14" i="36"/>
  <c r="BA16" i="36"/>
  <c r="BA33" i="36"/>
  <c r="BA61" i="36"/>
  <c r="BA19" i="36"/>
  <c r="BA20" i="36"/>
  <c r="BA35" i="36"/>
  <c r="BA60" i="36"/>
  <c r="BA22" i="36"/>
  <c r="BA36" i="36"/>
  <c r="BA63" i="36"/>
  <c r="BA25" i="36"/>
  <c r="BA26" i="36"/>
  <c r="BA27" i="36"/>
  <c r="BA48" i="36"/>
  <c r="BA28" i="36"/>
  <c r="BA44" i="36"/>
  <c r="BA45" i="36"/>
  <c r="BA66" i="36"/>
  <c r="BA13" i="36"/>
  <c r="BA49" i="36"/>
  <c r="BA67" i="36"/>
  <c r="BA23" i="36"/>
  <c r="BA62" i="36"/>
  <c r="BA11" i="36"/>
  <c r="BA54" i="36"/>
  <c r="BA55" i="36"/>
  <c r="BA64" i="36"/>
  <c r="BA71" i="36"/>
  <c r="BA72" i="36"/>
  <c r="BA4" i="36"/>
  <c r="BA47" i="36"/>
  <c r="BA29" i="36"/>
  <c r="BA52" i="36"/>
  <c r="BA9" i="36"/>
  <c r="BA74" i="36"/>
  <c r="BA12" i="36"/>
  <c r="BA32" i="36"/>
  <c r="BA43" i="36"/>
  <c r="BA58" i="36"/>
  <c r="BA51" i="36"/>
  <c r="BA30" i="36"/>
  <c r="BA31" i="36"/>
  <c r="BA75" i="36"/>
  <c r="BA15" i="36"/>
  <c r="BA76" i="36"/>
  <c r="BA77" i="36"/>
  <c r="BA78" i="36"/>
  <c r="BA18" i="36"/>
  <c r="BA79" i="36"/>
  <c r="BA34" i="36"/>
  <c r="BA21" i="36"/>
  <c r="BA80" i="36"/>
  <c r="BA73" i="36"/>
  <c r="BA81" i="36"/>
  <c r="BA82" i="36"/>
  <c r="BA105" i="36"/>
  <c r="BA37" i="36"/>
  <c r="BA53" i="36"/>
  <c r="BA24" i="36"/>
  <c r="BA83" i="36"/>
  <c r="BA84" i="36"/>
  <c r="BA38" i="36"/>
  <c r="BA85" i="36"/>
  <c r="BA86" i="36"/>
  <c r="BA39" i="36"/>
  <c r="BA87" i="36"/>
  <c r="BA88" i="36"/>
  <c r="BA40" i="36"/>
  <c r="BA106" i="36"/>
  <c r="BA56" i="36"/>
  <c r="BA89" i="36"/>
  <c r="BA90" i="36"/>
  <c r="BA91" i="36"/>
  <c r="BA92" i="36"/>
  <c r="BA93" i="36"/>
  <c r="BA94" i="36"/>
  <c r="BA95" i="36"/>
  <c r="BA96" i="36"/>
  <c r="BA97" i="36"/>
  <c r="BA98" i="36"/>
  <c r="BA99" i="36"/>
  <c r="BA100" i="36"/>
  <c r="BA101" i="36"/>
  <c r="BA102" i="36"/>
  <c r="BA103" i="36"/>
  <c r="BA104" i="36"/>
  <c r="BA107" i="36"/>
  <c r="BA108" i="36"/>
  <c r="BA109" i="36"/>
  <c r="BA110" i="36"/>
  <c r="G117" i="36"/>
  <c r="G72" i="25"/>
  <c r="K74" i="25"/>
  <c r="J74" i="25"/>
  <c r="BA5" i="25"/>
  <c r="BA11" i="25"/>
  <c r="BA4" i="25"/>
  <c r="BA36" i="25"/>
  <c r="BA34" i="25"/>
  <c r="BA9" i="25"/>
  <c r="BA45" i="25"/>
  <c r="BA29" i="25"/>
  <c r="BA30" i="25"/>
  <c r="BA6" i="25"/>
  <c r="BA8" i="25"/>
  <c r="BA43" i="25"/>
  <c r="BA48" i="25"/>
  <c r="BA49" i="25"/>
  <c r="BA12" i="25"/>
  <c r="BA32" i="25"/>
  <c r="BA50" i="25"/>
  <c r="BA13" i="25"/>
  <c r="BA14" i="25"/>
  <c r="BA35" i="25"/>
  <c r="BA22" i="25"/>
  <c r="BA16" i="25"/>
  <c r="BA17" i="25"/>
  <c r="BA39" i="25"/>
  <c r="BA7" i="25"/>
  <c r="BA18" i="25"/>
  <c r="BA10" i="25"/>
  <c r="BA33" i="25"/>
  <c r="BA19" i="25"/>
  <c r="BA20" i="25"/>
  <c r="BA23" i="25"/>
  <c r="BA38" i="25"/>
  <c r="BA51" i="25"/>
  <c r="BA52" i="25"/>
  <c r="BA24" i="25"/>
  <c r="BA31" i="25"/>
  <c r="BA53" i="25"/>
  <c r="BA63" i="25"/>
  <c r="BA21" i="25"/>
  <c r="BA37" i="25"/>
  <c r="BA64" i="25"/>
  <c r="BA55" i="25"/>
  <c r="BA54" i="25"/>
  <c r="BA56" i="25"/>
  <c r="BA25" i="25"/>
  <c r="BA57" i="25"/>
  <c r="BA61" i="25"/>
  <c r="BA40" i="25"/>
  <c r="BA28" i="25"/>
  <c r="BA65" i="25"/>
  <c r="BA4" i="21"/>
  <c r="BA53" i="21"/>
  <c r="BA59" i="21"/>
  <c r="BA58" i="21"/>
  <c r="BA56" i="21"/>
  <c r="BA54" i="21"/>
  <c r="BA52" i="21"/>
  <c r="BA51" i="21"/>
  <c r="BA50" i="21"/>
  <c r="BA49" i="21"/>
  <c r="BA23" i="21"/>
  <c r="BA26" i="21"/>
  <c r="BA60" i="21"/>
  <c r="BA29" i="21"/>
  <c r="BA48" i="21"/>
  <c r="BA47" i="21"/>
  <c r="BA46" i="21"/>
  <c r="BA41" i="21"/>
  <c r="BA40" i="21"/>
  <c r="BA57" i="21"/>
  <c r="BA17" i="21"/>
  <c r="BA34" i="21"/>
  <c r="BA33" i="21"/>
  <c r="BA18" i="21"/>
  <c r="BA12" i="21"/>
  <c r="BA44" i="21"/>
  <c r="BA36" i="21"/>
  <c r="BA22" i="21"/>
  <c r="BA39" i="21"/>
  <c r="BA15" i="21"/>
  <c r="BA14" i="21"/>
  <c r="BA21" i="21"/>
  <c r="BA13" i="21"/>
  <c r="BA37" i="21"/>
  <c r="BA35" i="21"/>
  <c r="BA20" i="21"/>
  <c r="BA8" i="21"/>
  <c r="BA32" i="21"/>
  <c r="BA38" i="21"/>
  <c r="BA6" i="21"/>
  <c r="BA5" i="21"/>
  <c r="BA7" i="21"/>
  <c r="BA9" i="21"/>
  <c r="BA55" i="21"/>
  <c r="BA10" i="21"/>
  <c r="BA11" i="21"/>
  <c r="BA19" i="21"/>
  <c r="BA31" i="21"/>
  <c r="BA45" i="21"/>
  <c r="BA61" i="21"/>
  <c r="M56" i="21"/>
  <c r="O60" i="11"/>
  <c r="N60" i="11"/>
  <c r="M35" i="21"/>
  <c r="M13" i="3"/>
  <c r="M9" i="7"/>
  <c r="M19" i="15"/>
  <c r="M17" i="36"/>
  <c r="L26" i="11"/>
  <c r="M26" i="11"/>
  <c r="M22" i="36"/>
  <c r="M21" i="21"/>
  <c r="M19" i="21"/>
  <c r="O49" i="35"/>
  <c r="N49" i="35"/>
  <c r="M31" i="21"/>
  <c r="M13" i="7"/>
  <c r="M4" i="7"/>
  <c r="M4" i="11"/>
  <c r="L30" i="35"/>
  <c r="M30" i="35"/>
  <c r="M5" i="25"/>
  <c r="M11" i="7"/>
  <c r="M6" i="15"/>
  <c r="M39" i="21"/>
  <c r="L69" i="35"/>
  <c r="M69" i="35"/>
  <c r="M10" i="11"/>
  <c r="M28" i="36"/>
  <c r="N37" i="21"/>
  <c r="M29" i="35"/>
  <c r="M8" i="7"/>
  <c r="M13" i="35"/>
  <c r="M7" i="36"/>
  <c r="O61" i="2"/>
  <c r="M54" i="21"/>
  <c r="O84" i="35"/>
  <c r="N84" i="35"/>
  <c r="O66" i="35"/>
  <c r="N66" i="35"/>
  <c r="M52" i="1"/>
  <c r="O35" i="36"/>
  <c r="N35" i="36"/>
  <c r="O17" i="21"/>
  <c r="M14" i="35"/>
  <c r="M23" i="36"/>
  <c r="L43" i="11"/>
  <c r="M43" i="11"/>
  <c r="L42" i="11"/>
  <c r="M42" i="11"/>
  <c r="O95" i="35"/>
  <c r="N95" i="35"/>
  <c r="M95" i="35"/>
  <c r="L43" i="15"/>
  <c r="M43" i="15"/>
  <c r="L50" i="11"/>
  <c r="M50" i="11"/>
  <c r="L36" i="11"/>
  <c r="M36" i="11"/>
  <c r="L42" i="15"/>
  <c r="M42" i="15"/>
  <c r="M17" i="35"/>
  <c r="M5" i="7"/>
  <c r="O17" i="25"/>
  <c r="N17" i="25"/>
  <c r="M17" i="25"/>
  <c r="O6" i="25"/>
  <c r="N6" i="25"/>
  <c r="O14" i="25"/>
  <c r="N14" i="25"/>
  <c r="M14" i="25"/>
  <c r="O57" i="25"/>
  <c r="N57" i="25"/>
  <c r="M57" i="25"/>
  <c r="O25" i="25"/>
  <c r="N25" i="25"/>
  <c r="M25" i="25"/>
  <c r="O56" i="25"/>
  <c r="N56" i="25"/>
  <c r="M56" i="25"/>
  <c r="O54" i="25"/>
  <c r="N54" i="25"/>
  <c r="M54" i="25"/>
  <c r="O55" i="25"/>
  <c r="N55" i="25"/>
  <c r="M55" i="25"/>
  <c r="O13" i="25"/>
  <c r="N13" i="25"/>
  <c r="M13" i="25"/>
  <c r="O64" i="25"/>
  <c r="N64" i="25"/>
  <c r="M64" i="25"/>
  <c r="O37" i="25"/>
  <c r="N37" i="25"/>
  <c r="M37" i="25"/>
  <c r="O21" i="25"/>
  <c r="N21" i="25"/>
  <c r="M21" i="25"/>
  <c r="O63" i="25"/>
  <c r="N63" i="25"/>
  <c r="M63" i="25"/>
  <c r="O53" i="25"/>
  <c r="N53" i="25"/>
  <c r="M53" i="25"/>
  <c r="O31" i="25"/>
  <c r="N31" i="25"/>
  <c r="M31" i="25"/>
  <c r="O24" i="25"/>
  <c r="N24" i="25"/>
  <c r="M24" i="25"/>
  <c r="O52" i="25"/>
  <c r="N52" i="25"/>
  <c r="M52" i="25"/>
  <c r="O51" i="25"/>
  <c r="N51" i="25"/>
  <c r="M51" i="25"/>
  <c r="O38" i="25"/>
  <c r="N38" i="25"/>
  <c r="M38" i="25"/>
  <c r="O45" i="25"/>
  <c r="N45" i="25"/>
  <c r="M45" i="25"/>
  <c r="O23" i="25"/>
  <c r="N23" i="25"/>
  <c r="M23" i="25"/>
  <c r="O9" i="25"/>
  <c r="N9" i="25"/>
  <c r="O8" i="25"/>
  <c r="N8" i="25"/>
  <c r="M8" i="25"/>
  <c r="O20" i="25"/>
  <c r="N20" i="25"/>
  <c r="M20" i="25"/>
  <c r="O19" i="25"/>
  <c r="N19" i="25"/>
  <c r="M19" i="25"/>
  <c r="O33" i="25"/>
  <c r="N33" i="25"/>
  <c r="O10" i="25"/>
  <c r="N10" i="25"/>
  <c r="O34" i="25"/>
  <c r="N34" i="25"/>
  <c r="O18" i="25"/>
  <c r="N18" i="25"/>
  <c r="O7" i="25"/>
  <c r="N7" i="25"/>
  <c r="O39" i="25"/>
  <c r="N39" i="25"/>
  <c r="M39" i="25"/>
  <c r="O16" i="25"/>
  <c r="N16" i="25"/>
  <c r="M16" i="25"/>
  <c r="O35" i="25"/>
  <c r="N35" i="25"/>
  <c r="M35" i="25"/>
  <c r="O36" i="25"/>
  <c r="N36" i="25"/>
  <c r="O4" i="25"/>
  <c r="N4" i="25"/>
  <c r="O50" i="25"/>
  <c r="N50" i="25"/>
  <c r="M50" i="25"/>
  <c r="O32" i="25"/>
  <c r="N32" i="25"/>
  <c r="M32" i="25"/>
  <c r="O12" i="25"/>
  <c r="N12" i="25"/>
  <c r="M12" i="25"/>
  <c r="O11" i="25"/>
  <c r="N11" i="25"/>
  <c r="O5" i="25"/>
  <c r="N5" i="25"/>
  <c r="O45" i="35"/>
  <c r="N45" i="35"/>
  <c r="M45" i="35"/>
  <c r="O73" i="35"/>
  <c r="N73" i="35"/>
  <c r="L27" i="15"/>
  <c r="BC49" i="25"/>
  <c r="BC48" i="25"/>
  <c r="L15" i="35"/>
  <c r="L35" i="35"/>
  <c r="M35" i="35"/>
  <c r="O99" i="36"/>
  <c r="N99" i="36"/>
  <c r="O98" i="36"/>
  <c r="N98" i="36"/>
  <c r="O97" i="36"/>
  <c r="N97" i="36"/>
  <c r="O96" i="36"/>
  <c r="N96" i="36"/>
  <c r="O95" i="36"/>
  <c r="N95" i="36"/>
  <c r="O94" i="36"/>
  <c r="N94" i="36"/>
  <c r="O93" i="36"/>
  <c r="N93" i="36"/>
  <c r="O92" i="36"/>
  <c r="N92" i="36"/>
  <c r="O91" i="36"/>
  <c r="N91" i="36"/>
  <c r="O90" i="36"/>
  <c r="N90" i="36"/>
  <c r="O89" i="36"/>
  <c r="N89" i="36"/>
  <c r="O56" i="36"/>
  <c r="N56" i="36"/>
  <c r="O28" i="36"/>
  <c r="N28" i="36"/>
  <c r="O48" i="36"/>
  <c r="N48" i="36"/>
  <c r="O106" i="36"/>
  <c r="N106" i="36"/>
  <c r="O40" i="36"/>
  <c r="N40" i="36"/>
  <c r="O27" i="36"/>
  <c r="N27" i="36"/>
  <c r="O88" i="36"/>
  <c r="N88" i="36"/>
  <c r="O87" i="36"/>
  <c r="N87" i="36"/>
  <c r="O39" i="36"/>
  <c r="N39" i="36"/>
  <c r="O86" i="36"/>
  <c r="N86" i="36"/>
  <c r="O85" i="36"/>
  <c r="N85" i="36"/>
  <c r="O26" i="36"/>
  <c r="N26" i="36"/>
  <c r="O84" i="36"/>
  <c r="N84" i="36"/>
  <c r="O83" i="36"/>
  <c r="N83" i="36"/>
  <c r="O25" i="36"/>
  <c r="N25" i="36"/>
  <c r="O24" i="36"/>
  <c r="N24" i="36"/>
  <c r="O53" i="36"/>
  <c r="N53" i="36"/>
  <c r="O37" i="36"/>
  <c r="N37" i="36"/>
  <c r="O105" i="36"/>
  <c r="N105" i="36"/>
  <c r="O62" i="36"/>
  <c r="N62" i="36"/>
  <c r="O36" i="36"/>
  <c r="N36" i="36"/>
  <c r="O82" i="36"/>
  <c r="N82" i="36"/>
  <c r="O81" i="36"/>
  <c r="N81" i="36"/>
  <c r="O73" i="36"/>
  <c r="N73" i="36"/>
  <c r="O22" i="36"/>
  <c r="N22" i="36"/>
  <c r="O60" i="36"/>
  <c r="N60" i="36"/>
  <c r="O80" i="36"/>
  <c r="N80" i="36"/>
  <c r="O21" i="36"/>
  <c r="N21" i="36"/>
  <c r="O69" i="36"/>
  <c r="N69" i="36"/>
  <c r="O20" i="36"/>
  <c r="N20" i="36"/>
  <c r="O34" i="36"/>
  <c r="N34" i="36"/>
  <c r="O46" i="36"/>
  <c r="N46" i="36"/>
  <c r="O19" i="36"/>
  <c r="N19" i="36"/>
  <c r="O79" i="36"/>
  <c r="N79" i="36"/>
  <c r="O18" i="36"/>
  <c r="N18" i="36"/>
  <c r="O78" i="36"/>
  <c r="N78" i="36"/>
  <c r="O77" i="36"/>
  <c r="N77" i="36"/>
  <c r="O59" i="36"/>
  <c r="N59" i="36"/>
  <c r="O33" i="36"/>
  <c r="N33" i="36"/>
  <c r="O16" i="36"/>
  <c r="N16" i="36"/>
  <c r="O76" i="36"/>
  <c r="N76" i="36"/>
  <c r="O15" i="36"/>
  <c r="N15" i="36"/>
  <c r="O75" i="36"/>
  <c r="N75" i="36"/>
  <c r="O31" i="36"/>
  <c r="N31" i="36"/>
  <c r="O30" i="36"/>
  <c r="N30" i="36"/>
  <c r="O51" i="36"/>
  <c r="N51" i="36"/>
  <c r="O50" i="36"/>
  <c r="N50" i="36"/>
  <c r="O58" i="36"/>
  <c r="N58" i="36"/>
  <c r="O43" i="36"/>
  <c r="N43" i="36"/>
  <c r="O13" i="36"/>
  <c r="N13" i="36"/>
  <c r="O32" i="36"/>
  <c r="N32" i="36"/>
  <c r="O12" i="36"/>
  <c r="N12" i="36"/>
  <c r="O11" i="36"/>
  <c r="N11" i="36"/>
  <c r="O103" i="36"/>
  <c r="N103" i="36"/>
  <c r="O102" i="36"/>
  <c r="N102" i="36"/>
  <c r="O74" i="36"/>
  <c r="N74" i="36"/>
  <c r="O10" i="36"/>
  <c r="N10" i="36"/>
  <c r="O9" i="36"/>
  <c r="N9" i="36"/>
  <c r="O8" i="36"/>
  <c r="N8" i="36"/>
  <c r="O52" i="36"/>
  <c r="N52" i="36"/>
  <c r="O7" i="36"/>
  <c r="N7" i="36"/>
  <c r="O68" i="36"/>
  <c r="N68" i="36"/>
  <c r="O6" i="36"/>
  <c r="N6" i="36"/>
  <c r="O66" i="36"/>
  <c r="N66" i="36"/>
  <c r="O5" i="36"/>
  <c r="N5" i="36"/>
  <c r="O67" i="36"/>
  <c r="N67" i="36"/>
  <c r="O29" i="36"/>
  <c r="N29" i="36"/>
  <c r="O47" i="36"/>
  <c r="N47" i="36"/>
  <c r="O4" i="36"/>
  <c r="N4" i="36"/>
  <c r="O72" i="36"/>
  <c r="N72" i="36"/>
  <c r="O57" i="36"/>
  <c r="N57" i="36"/>
  <c r="O17" i="36"/>
  <c r="N17" i="36"/>
  <c r="O63" i="36"/>
  <c r="N63" i="36"/>
  <c r="O61" i="36"/>
  <c r="N61" i="36"/>
  <c r="O14" i="36"/>
  <c r="N14" i="36"/>
  <c r="O49" i="36"/>
  <c r="N49" i="36"/>
  <c r="O23" i="36"/>
  <c r="N23" i="36"/>
  <c r="L83" i="35"/>
  <c r="M83" i="35"/>
  <c r="O62" i="35"/>
  <c r="N62" i="35"/>
  <c r="M30" i="7"/>
  <c r="O59" i="35"/>
  <c r="N59" i="35"/>
  <c r="M59" i="35"/>
  <c r="M13" i="11"/>
  <c r="M57" i="21"/>
  <c r="L38" i="11"/>
  <c r="M38" i="11"/>
  <c r="O56" i="35"/>
  <c r="N56" i="35"/>
  <c r="M56" i="35"/>
  <c r="L25" i="15"/>
  <c r="M25" i="15"/>
  <c r="O27" i="15"/>
  <c r="M39" i="11"/>
  <c r="L44" i="15"/>
  <c r="BC101" i="36"/>
  <c r="BA105" i="38"/>
  <c r="G69" i="21"/>
  <c r="G99" i="7"/>
  <c r="G109" i="3"/>
  <c r="G106" i="2"/>
  <c r="G106" i="1"/>
  <c r="G60" i="15"/>
  <c r="G69" i="11"/>
  <c r="O27" i="35"/>
  <c r="N27" i="35"/>
  <c r="J103" i="1"/>
  <c r="J102" i="1"/>
  <c r="J104" i="1"/>
  <c r="M19" i="7"/>
  <c r="O94" i="35"/>
  <c r="O93" i="35"/>
  <c r="O92" i="35"/>
  <c r="O89" i="35"/>
  <c r="O88" i="35"/>
  <c r="O87" i="35"/>
  <c r="O86" i="35"/>
  <c r="O85" i="35"/>
  <c r="O69" i="35"/>
  <c r="O83" i="35"/>
  <c r="O82" i="35"/>
  <c r="O80" i="35"/>
  <c r="O79" i="35"/>
  <c r="O78" i="35"/>
  <c r="O77" i="35"/>
  <c r="O76" i="35"/>
  <c r="O71" i="35"/>
  <c r="O67" i="35"/>
  <c r="O70" i="35"/>
  <c r="O68" i="35"/>
  <c r="O64" i="35"/>
  <c r="O63" i="35"/>
  <c r="O42" i="35"/>
  <c r="O61" i="35"/>
  <c r="O60" i="35"/>
  <c r="O58" i="35"/>
  <c r="O57" i="35"/>
  <c r="O50" i="35"/>
  <c r="O29" i="35"/>
  <c r="O53" i="35"/>
  <c r="O52" i="35"/>
  <c r="O51" i="35"/>
  <c r="O48" i="35"/>
  <c r="O47" i="35"/>
  <c r="O20" i="35"/>
  <c r="O46" i="35"/>
  <c r="O44" i="35"/>
  <c r="O40" i="35"/>
  <c r="O43" i="35"/>
  <c r="O24" i="35"/>
  <c r="O39" i="35"/>
  <c r="O38" i="35"/>
  <c r="O37" i="35"/>
  <c r="O36" i="35"/>
  <c r="O35" i="35"/>
  <c r="O32" i="35"/>
  <c r="O30" i="35"/>
  <c r="O16" i="35"/>
  <c r="O34" i="35"/>
  <c r="O33" i="35"/>
  <c r="O31" i="35"/>
  <c r="O28" i="35"/>
  <c r="O26" i="35"/>
  <c r="O19" i="35"/>
  <c r="O25" i="35"/>
  <c r="O17" i="35"/>
  <c r="O23" i="35"/>
  <c r="O9" i="35"/>
  <c r="O22" i="35"/>
  <c r="O21" i="35"/>
  <c r="O18" i="35"/>
  <c r="O6" i="35"/>
  <c r="O15" i="35"/>
  <c r="O13" i="35"/>
  <c r="O14" i="35"/>
  <c r="O12" i="35"/>
  <c r="O11" i="35"/>
  <c r="O10" i="35"/>
  <c r="O8" i="35"/>
  <c r="O7" i="35"/>
  <c r="O5" i="35"/>
  <c r="O4" i="35"/>
  <c r="O3" i="35"/>
  <c r="O2" i="35"/>
  <c r="O1" i="35"/>
  <c r="N94" i="35"/>
  <c r="N93" i="35"/>
  <c r="N92" i="35"/>
  <c r="N89" i="35"/>
  <c r="N88" i="35"/>
  <c r="N87" i="35"/>
  <c r="N86" i="35"/>
  <c r="N85" i="35"/>
  <c r="N69" i="35"/>
  <c r="N83" i="35"/>
  <c r="N82" i="35"/>
  <c r="N80" i="35"/>
  <c r="N79" i="35"/>
  <c r="N78" i="35"/>
  <c r="N77" i="35"/>
  <c r="N76" i="35"/>
  <c r="N71" i="35"/>
  <c r="N67" i="35"/>
  <c r="N70" i="35"/>
  <c r="N68" i="35"/>
  <c r="N64" i="35"/>
  <c r="N63" i="35"/>
  <c r="N42" i="35"/>
  <c r="N61" i="35"/>
  <c r="N60" i="35"/>
  <c r="N58" i="35"/>
  <c r="N57" i="35"/>
  <c r="N50" i="35"/>
  <c r="N29" i="35"/>
  <c r="N53" i="35"/>
  <c r="N52" i="35"/>
  <c r="N51" i="35"/>
  <c r="N48" i="35"/>
  <c r="N47" i="35"/>
  <c r="N20" i="35"/>
  <c r="N46" i="35"/>
  <c r="N44" i="35"/>
  <c r="N40" i="35"/>
  <c r="N43" i="35"/>
  <c r="N24" i="35"/>
  <c r="N39" i="35"/>
  <c r="N38" i="35"/>
  <c r="N37" i="35"/>
  <c r="N36" i="35"/>
  <c r="N35" i="35"/>
  <c r="N32" i="35"/>
  <c r="N30" i="35"/>
  <c r="N16" i="35"/>
  <c r="N34" i="35"/>
  <c r="N33" i="35"/>
  <c r="N31" i="35"/>
  <c r="N28" i="35"/>
  <c r="N26" i="35"/>
  <c r="N19" i="35"/>
  <c r="N25" i="35"/>
  <c r="N17" i="35"/>
  <c r="N23" i="35"/>
  <c r="N9" i="35"/>
  <c r="N22" i="35"/>
  <c r="N21" i="35"/>
  <c r="N18" i="35"/>
  <c r="N6" i="35"/>
  <c r="N15" i="35"/>
  <c r="N13" i="35"/>
  <c r="N14" i="35"/>
  <c r="N12" i="35"/>
  <c r="N11" i="35"/>
  <c r="N10" i="35"/>
  <c r="N8" i="35"/>
  <c r="N7" i="35"/>
  <c r="N5" i="35"/>
  <c r="N4" i="35"/>
  <c r="N3" i="35"/>
  <c r="N2" i="35"/>
  <c r="N1" i="35"/>
  <c r="M94" i="35"/>
  <c r="M93" i="35"/>
  <c r="M92" i="35"/>
  <c r="M89" i="35"/>
  <c r="M88" i="35"/>
  <c r="M87" i="35"/>
  <c r="M86" i="35"/>
  <c r="M85" i="35"/>
  <c r="M82" i="35"/>
  <c r="M80" i="35"/>
  <c r="M79" i="35"/>
  <c r="M78" i="35"/>
  <c r="M77" i="35"/>
  <c r="M76" i="35"/>
  <c r="M71" i="35"/>
  <c r="M67" i="35"/>
  <c r="M70" i="35"/>
  <c r="M68" i="35"/>
  <c r="M64" i="35"/>
  <c r="M63" i="35"/>
  <c r="M42" i="35"/>
  <c r="M61" i="35"/>
  <c r="M60" i="35"/>
  <c r="L58" i="35"/>
  <c r="M58" i="35"/>
  <c r="M57" i="35"/>
  <c r="M50" i="35"/>
  <c r="M53" i="35"/>
  <c r="M52" i="35"/>
  <c r="M51" i="35"/>
  <c r="L48" i="35"/>
  <c r="M48" i="35"/>
  <c r="M47" i="35"/>
  <c r="M46" i="35"/>
  <c r="M44" i="35"/>
  <c r="M40" i="35"/>
  <c r="M43" i="35"/>
  <c r="M39" i="35"/>
  <c r="M38" i="35"/>
  <c r="M37" i="35"/>
  <c r="M36" i="35"/>
  <c r="M34" i="35"/>
  <c r="M33" i="35"/>
  <c r="M31" i="35"/>
  <c r="M26" i="35"/>
  <c r="M25" i="35"/>
  <c r="M23" i="35"/>
  <c r="M22" i="35"/>
  <c r="M21" i="35"/>
  <c r="M18" i="35"/>
  <c r="M15" i="35"/>
  <c r="M12" i="35"/>
  <c r="M11" i="35"/>
  <c r="M10" i="35"/>
  <c r="M7" i="35"/>
  <c r="M3" i="35"/>
  <c r="M2" i="35"/>
  <c r="M1" i="35"/>
  <c r="L20" i="15"/>
  <c r="M20" i="15"/>
  <c r="M72" i="36"/>
  <c r="M67" i="36"/>
  <c r="M66" i="36"/>
  <c r="M6" i="36"/>
  <c r="M52" i="36"/>
  <c r="M9" i="36"/>
  <c r="M74" i="36"/>
  <c r="M102" i="36"/>
  <c r="M103" i="36"/>
  <c r="M12" i="36"/>
  <c r="M13" i="36"/>
  <c r="M43" i="36"/>
  <c r="M58" i="36"/>
  <c r="M30" i="36"/>
  <c r="M75" i="36"/>
  <c r="M15" i="36"/>
  <c r="M76" i="36"/>
  <c r="M33" i="36"/>
  <c r="M77" i="36"/>
  <c r="M78" i="36"/>
  <c r="M18" i="36"/>
  <c r="M79" i="36"/>
  <c r="M46" i="36"/>
  <c r="M34" i="36"/>
  <c r="M20" i="36"/>
  <c r="M21" i="36"/>
  <c r="M80" i="36"/>
  <c r="M73" i="36"/>
  <c r="M81" i="36"/>
  <c r="M82" i="36"/>
  <c r="M104" i="36"/>
  <c r="M105" i="36"/>
  <c r="M84" i="36"/>
  <c r="M39" i="36"/>
  <c r="M87" i="36"/>
  <c r="M88" i="36"/>
  <c r="M27" i="36"/>
  <c r="M40" i="36"/>
  <c r="M106" i="36"/>
  <c r="M48" i="36"/>
  <c r="M56" i="36"/>
  <c r="M90" i="36"/>
  <c r="M91" i="36"/>
  <c r="M92" i="36"/>
  <c r="M89" i="36"/>
  <c r="M93" i="36"/>
  <c r="M94" i="36"/>
  <c r="M95" i="36"/>
  <c r="M96" i="36"/>
  <c r="M97" i="36"/>
  <c r="M83" i="36"/>
  <c r="M85" i="36"/>
  <c r="M99" i="36"/>
  <c r="L24" i="15"/>
  <c r="M24" i="15"/>
  <c r="M5" i="15"/>
  <c r="N5" i="15"/>
  <c r="O5" i="15"/>
  <c r="BA5" i="15"/>
  <c r="L24" i="11"/>
  <c r="M24" i="11"/>
  <c r="M38" i="7"/>
  <c r="M66" i="3"/>
  <c r="BC61" i="25"/>
  <c r="CH1063" i="28"/>
  <c r="BA25" i="15"/>
  <c r="BA6" i="15"/>
  <c r="BA4" i="15"/>
  <c r="BA7" i="15"/>
  <c r="BA8" i="15"/>
  <c r="BA9" i="15"/>
  <c r="BA21" i="15"/>
  <c r="BA11" i="15"/>
  <c r="BA12" i="15"/>
  <c r="BA13" i="15"/>
  <c r="BA14" i="15"/>
  <c r="BA15" i="15"/>
  <c r="BA10" i="15"/>
  <c r="BA17" i="15"/>
  <c r="BA18" i="15"/>
  <c r="BA43" i="15"/>
  <c r="BA27" i="15"/>
  <c r="BA28" i="15"/>
  <c r="BA26" i="15"/>
  <c r="BA19" i="15"/>
  <c r="BA20" i="15"/>
  <c r="BA22" i="15"/>
  <c r="BA23" i="15"/>
  <c r="BA32" i="15"/>
  <c r="BA24" i="15"/>
  <c r="BA33" i="15"/>
  <c r="BA34" i="15"/>
  <c r="BA35" i="15"/>
  <c r="BA36" i="15"/>
  <c r="BA38" i="15"/>
  <c r="BA39" i="15"/>
  <c r="BA40" i="15"/>
  <c r="BA41" i="15"/>
  <c r="BA42" i="15"/>
  <c r="BA44" i="15"/>
  <c r="BA45" i="15"/>
  <c r="BA46" i="15"/>
  <c r="BA47" i="15"/>
  <c r="BA48" i="15"/>
  <c r="BA49" i="15"/>
  <c r="BA50" i="15"/>
  <c r="BA51" i="15"/>
  <c r="BA59" i="15"/>
  <c r="H56" i="15"/>
  <c r="L32" i="11"/>
  <c r="M32" i="11"/>
  <c r="L40" i="15"/>
  <c r="M40" i="15"/>
  <c r="M10" i="3"/>
  <c r="M39" i="7"/>
  <c r="L37" i="11"/>
  <c r="M37" i="11"/>
  <c r="O12" i="2"/>
  <c r="L41" i="11"/>
  <c r="M41" i="11"/>
  <c r="L31" i="11"/>
  <c r="M31" i="11"/>
  <c r="L20" i="11"/>
  <c r="M20" i="11"/>
  <c r="L30" i="11"/>
  <c r="M30" i="11"/>
  <c r="L25" i="11"/>
  <c r="M25" i="11"/>
  <c r="L46" i="11"/>
  <c r="M46" i="11"/>
  <c r="L35" i="11"/>
  <c r="M35" i="11"/>
  <c r="L47" i="11"/>
  <c r="M47" i="11"/>
  <c r="L48" i="11"/>
  <c r="M48" i="11"/>
  <c r="L49" i="11"/>
  <c r="M49" i="11"/>
  <c r="H71" i="11"/>
  <c r="I71" i="11"/>
  <c r="J71" i="11"/>
  <c r="K71" i="11"/>
  <c r="I71" i="21"/>
  <c r="J71" i="21"/>
  <c r="K71" i="21"/>
  <c r="CH1061" i="28"/>
  <c r="O20" i="15"/>
  <c r="N20" i="15"/>
  <c r="M24" i="3"/>
  <c r="M27" i="15"/>
  <c r="N6" i="15"/>
  <c r="O6" i="15"/>
  <c r="O45" i="21"/>
  <c r="N45" i="21"/>
  <c r="M45" i="21"/>
  <c r="O31" i="15"/>
  <c r="N31" i="15"/>
  <c r="O37" i="15"/>
  <c r="N37" i="15"/>
  <c r="O10" i="7"/>
  <c r="O95" i="1"/>
  <c r="N95" i="1"/>
  <c r="O94" i="1"/>
  <c r="N94" i="1"/>
  <c r="O93" i="1"/>
  <c r="N93" i="1"/>
  <c r="O92" i="1"/>
  <c r="N92" i="1"/>
  <c r="O91" i="1"/>
  <c r="N91" i="1"/>
  <c r="O90" i="1"/>
  <c r="N90" i="1"/>
  <c r="O89" i="1"/>
  <c r="N89" i="1"/>
  <c r="O88" i="1"/>
  <c r="N88" i="1"/>
  <c r="O87" i="1"/>
  <c r="N87" i="1"/>
  <c r="O86" i="1"/>
  <c r="N86" i="1"/>
  <c r="O85" i="1"/>
  <c r="N85" i="1"/>
  <c r="O84" i="1"/>
  <c r="N84" i="1"/>
  <c r="O83" i="1"/>
  <c r="N83" i="1"/>
  <c r="O82" i="1"/>
  <c r="N82" i="1"/>
  <c r="O81" i="1"/>
  <c r="N81" i="1"/>
  <c r="O80" i="1"/>
  <c r="N80" i="1"/>
  <c r="O79" i="1"/>
  <c r="N79" i="1"/>
  <c r="O78" i="1"/>
  <c r="N78" i="1"/>
  <c r="O77" i="1"/>
  <c r="N77" i="1"/>
  <c r="O76" i="1"/>
  <c r="N76" i="1"/>
  <c r="O75" i="1"/>
  <c r="N75" i="1"/>
  <c r="O74" i="1"/>
  <c r="N74" i="1"/>
  <c r="O73" i="1"/>
  <c r="N73" i="1"/>
  <c r="O72" i="1"/>
  <c r="N72" i="1"/>
  <c r="O71" i="1"/>
  <c r="N71" i="1"/>
  <c r="O85" i="7"/>
  <c r="N85" i="7"/>
  <c r="O82" i="7"/>
  <c r="N82" i="7"/>
  <c r="O84" i="7"/>
  <c r="N84" i="7"/>
  <c r="O83" i="7"/>
  <c r="N83" i="7"/>
  <c r="O81" i="7"/>
  <c r="N81" i="7"/>
  <c r="O80" i="7"/>
  <c r="N80" i="7"/>
  <c r="O79" i="7"/>
  <c r="N79" i="7"/>
  <c r="O78" i="7"/>
  <c r="N78" i="7"/>
  <c r="O77" i="7"/>
  <c r="N77" i="7"/>
  <c r="O76" i="7"/>
  <c r="N76" i="7"/>
  <c r="O74" i="7"/>
  <c r="N74" i="7"/>
  <c r="O73" i="7"/>
  <c r="N73" i="7"/>
  <c r="O72" i="7"/>
  <c r="N72" i="7"/>
  <c r="O70" i="7"/>
  <c r="N70" i="7"/>
  <c r="O68" i="7"/>
  <c r="N68" i="7"/>
  <c r="O67" i="7"/>
  <c r="N67" i="7"/>
  <c r="O71" i="7"/>
  <c r="N71" i="7"/>
  <c r="O69" i="7"/>
  <c r="N69" i="7"/>
  <c r="N96" i="2"/>
  <c r="M96" i="2"/>
  <c r="N95" i="2"/>
  <c r="M95" i="2"/>
  <c r="N94" i="2"/>
  <c r="M94" i="2"/>
  <c r="N93" i="2"/>
  <c r="M93" i="2"/>
  <c r="N92" i="2"/>
  <c r="M92" i="2"/>
  <c r="N91" i="2"/>
  <c r="M91" i="2"/>
  <c r="N90" i="2"/>
  <c r="M90" i="2"/>
  <c r="N89" i="2"/>
  <c r="M89" i="2"/>
  <c r="N88" i="2"/>
  <c r="M88" i="2"/>
  <c r="N87" i="2"/>
  <c r="M87" i="2"/>
  <c r="N86" i="2"/>
  <c r="M86" i="2"/>
  <c r="N85" i="2"/>
  <c r="M85" i="2"/>
  <c r="N84" i="2"/>
  <c r="M84" i="2"/>
  <c r="N83" i="2"/>
  <c r="M83" i="2"/>
  <c r="N82" i="2"/>
  <c r="M82" i="2"/>
  <c r="O99" i="3"/>
  <c r="N99" i="3"/>
  <c r="O98" i="3"/>
  <c r="N98" i="3"/>
  <c r="O97" i="3"/>
  <c r="N97" i="3"/>
  <c r="O96" i="3"/>
  <c r="N96" i="3"/>
  <c r="O95" i="3"/>
  <c r="N95" i="3"/>
  <c r="O94" i="3"/>
  <c r="N94" i="3"/>
  <c r="O93" i="3"/>
  <c r="N93" i="3"/>
  <c r="O92" i="3"/>
  <c r="N92" i="3"/>
  <c r="O91" i="3"/>
  <c r="N91" i="3"/>
  <c r="O90" i="3"/>
  <c r="N90" i="3"/>
  <c r="O89" i="3"/>
  <c r="N89" i="3"/>
  <c r="O88" i="3"/>
  <c r="N88" i="3"/>
  <c r="O87" i="3"/>
  <c r="N87" i="3"/>
  <c r="O86" i="3"/>
  <c r="N86" i="3"/>
  <c r="O85" i="3"/>
  <c r="N85" i="3"/>
  <c r="O84" i="3"/>
  <c r="N84" i="3"/>
  <c r="O83" i="3"/>
  <c r="N83" i="3"/>
  <c r="O82" i="3"/>
  <c r="N82" i="3"/>
  <c r="O81" i="3"/>
  <c r="N81" i="3"/>
  <c r="O75" i="7"/>
  <c r="N75" i="7"/>
  <c r="O59" i="11"/>
  <c r="N59" i="11"/>
  <c r="O57" i="11"/>
  <c r="N57" i="11"/>
  <c r="O56" i="11"/>
  <c r="N56" i="11"/>
  <c r="O54" i="11"/>
  <c r="N54" i="11"/>
  <c r="O52" i="11"/>
  <c r="N52" i="11"/>
  <c r="O51" i="11"/>
  <c r="N51" i="11"/>
  <c r="O53" i="11"/>
  <c r="N53" i="11"/>
  <c r="O58" i="11"/>
  <c r="N58" i="11"/>
  <c r="O9" i="11"/>
  <c r="N9" i="11"/>
  <c r="O55" i="11"/>
  <c r="N55" i="11"/>
  <c r="O50" i="15"/>
  <c r="N50" i="15"/>
  <c r="O45" i="15"/>
  <c r="N45" i="15"/>
  <c r="O49" i="15"/>
  <c r="N49" i="15"/>
  <c r="O21" i="15"/>
  <c r="N21" i="15"/>
  <c r="O47" i="15"/>
  <c r="N47" i="15"/>
  <c r="O11" i="15"/>
  <c r="N11" i="15"/>
  <c r="O36" i="15"/>
  <c r="N36" i="15"/>
  <c r="O35" i="15"/>
  <c r="N35" i="15"/>
  <c r="O9" i="15"/>
  <c r="N9" i="15"/>
  <c r="O28" i="15"/>
  <c r="N28" i="15"/>
  <c r="O32" i="15"/>
  <c r="N32" i="15"/>
  <c r="O46" i="15"/>
  <c r="N46" i="15"/>
  <c r="O48" i="15"/>
  <c r="N48" i="15"/>
  <c r="O10" i="15"/>
  <c r="N10" i="15"/>
  <c r="O4" i="15"/>
  <c r="N4" i="15"/>
  <c r="O40" i="15"/>
  <c r="N40" i="15"/>
  <c r="O7" i="15"/>
  <c r="N7" i="15"/>
  <c r="O44" i="15"/>
  <c r="N44" i="15"/>
  <c r="O24" i="15"/>
  <c r="N24" i="15"/>
  <c r="O21" i="21"/>
  <c r="N21" i="21"/>
  <c r="O11" i="21"/>
  <c r="N11" i="21"/>
  <c r="O58" i="21"/>
  <c r="N58" i="21"/>
  <c r="O55" i="21"/>
  <c r="N55" i="21"/>
  <c r="O7" i="21"/>
  <c r="N7" i="21"/>
  <c r="O59" i="21"/>
  <c r="N59" i="21"/>
  <c r="O6" i="21"/>
  <c r="N6" i="21"/>
  <c r="O31" i="21"/>
  <c r="N31" i="21"/>
  <c r="O54" i="21"/>
  <c r="N54" i="21"/>
  <c r="O19" i="21"/>
  <c r="N19" i="21"/>
  <c r="O49" i="21"/>
  <c r="N49" i="21"/>
  <c r="O18" i="21"/>
  <c r="N18" i="21"/>
  <c r="O53" i="21"/>
  <c r="N53" i="21"/>
  <c r="O22" i="21"/>
  <c r="N22" i="21"/>
  <c r="O39" i="21"/>
  <c r="N39" i="21"/>
  <c r="O15" i="21"/>
  <c r="N15" i="21"/>
  <c r="O14" i="21"/>
  <c r="N14" i="21"/>
  <c r="O13" i="21"/>
  <c r="N13" i="21"/>
  <c r="O12" i="21"/>
  <c r="N12" i="21"/>
  <c r="O26" i="21"/>
  <c r="N26" i="21"/>
  <c r="O10" i="21"/>
  <c r="N10" i="21"/>
  <c r="O37" i="21"/>
  <c r="O60" i="21"/>
  <c r="N60" i="21"/>
  <c r="O9" i="21"/>
  <c r="N9" i="21"/>
  <c r="O35" i="21"/>
  <c r="N35" i="21"/>
  <c r="O44" i="21"/>
  <c r="N44" i="21"/>
  <c r="O20" i="21"/>
  <c r="N20" i="21"/>
  <c r="O8" i="21"/>
  <c r="N8" i="21"/>
  <c r="O57" i="21"/>
  <c r="N57" i="21"/>
  <c r="O36" i="21"/>
  <c r="N36" i="21"/>
  <c r="O32" i="21"/>
  <c r="N32" i="21"/>
  <c r="O38" i="21"/>
  <c r="N38" i="21"/>
  <c r="O56" i="21"/>
  <c r="N56" i="21"/>
  <c r="O29" i="21"/>
  <c r="N29" i="21"/>
  <c r="O48" i="21"/>
  <c r="N48" i="21"/>
  <c r="O5" i="21"/>
  <c r="N5" i="21"/>
  <c r="O4" i="21"/>
  <c r="N4" i="21"/>
  <c r="O26" i="15"/>
  <c r="N26" i="15"/>
  <c r="O41" i="15"/>
  <c r="N41" i="15"/>
  <c r="O42" i="15"/>
  <c r="N42" i="15"/>
  <c r="O19" i="15"/>
  <c r="N19" i="15"/>
  <c r="N27" i="15"/>
  <c r="O25" i="15"/>
  <c r="N25" i="15"/>
  <c r="O43" i="15"/>
  <c r="N43" i="15"/>
  <c r="O8" i="15"/>
  <c r="N8" i="15"/>
  <c r="O48" i="11"/>
  <c r="N48" i="11"/>
  <c r="O47" i="11"/>
  <c r="N47" i="11"/>
  <c r="O29" i="11"/>
  <c r="N29" i="11"/>
  <c r="O49" i="11"/>
  <c r="N49" i="11"/>
  <c r="O45" i="11"/>
  <c r="N45" i="11"/>
  <c r="O46" i="11"/>
  <c r="N46" i="11"/>
  <c r="O25" i="11"/>
  <c r="N25" i="11"/>
  <c r="O31" i="11"/>
  <c r="N31" i="11"/>
  <c r="O50" i="11"/>
  <c r="N50" i="11"/>
  <c r="O64" i="7"/>
  <c r="N64" i="7"/>
  <c r="O62" i="7"/>
  <c r="N62" i="7"/>
  <c r="O63" i="7"/>
  <c r="N63" i="7"/>
  <c r="O61" i="7"/>
  <c r="N61" i="7"/>
  <c r="O66" i="7"/>
  <c r="N66" i="7"/>
  <c r="O60" i="7"/>
  <c r="N60" i="7"/>
  <c r="O65" i="7"/>
  <c r="N65" i="7"/>
  <c r="O14" i="7"/>
  <c r="N14" i="7"/>
  <c r="O24" i="11"/>
  <c r="N24" i="11"/>
  <c r="O35" i="11"/>
  <c r="N35" i="11"/>
  <c r="O39" i="11"/>
  <c r="N39" i="11"/>
  <c r="O4" i="11"/>
  <c r="N4" i="11"/>
  <c r="O7" i="11"/>
  <c r="N7" i="11"/>
  <c r="O30" i="11"/>
  <c r="N30" i="11"/>
  <c r="O8" i="11"/>
  <c r="N8" i="11"/>
  <c r="O14" i="11"/>
  <c r="N14" i="11"/>
  <c r="O42" i="11"/>
  <c r="N42" i="11"/>
  <c r="O13" i="11"/>
  <c r="N13" i="11"/>
  <c r="O5" i="11"/>
  <c r="N5" i="11"/>
  <c r="O32" i="11"/>
  <c r="N32" i="11"/>
  <c r="O10" i="11"/>
  <c r="N10" i="11"/>
  <c r="O38" i="11"/>
  <c r="N38" i="11"/>
  <c r="O40" i="11"/>
  <c r="N40" i="11"/>
  <c r="O36" i="11"/>
  <c r="N36" i="11"/>
  <c r="O37" i="11"/>
  <c r="N37" i="11"/>
  <c r="O44" i="11"/>
  <c r="N44" i="11"/>
  <c r="O6" i="11"/>
  <c r="N6" i="11"/>
  <c r="O21" i="11"/>
  <c r="N21" i="11"/>
  <c r="O26" i="11"/>
  <c r="N26" i="11"/>
  <c r="O41" i="11"/>
  <c r="N41" i="11"/>
  <c r="O43" i="11"/>
  <c r="N43" i="11"/>
  <c r="O9" i="7"/>
  <c r="N9" i="7"/>
  <c r="O8" i="7"/>
  <c r="N8" i="7"/>
  <c r="O20" i="7"/>
  <c r="N20" i="7"/>
  <c r="O51" i="7"/>
  <c r="N51" i="7"/>
  <c r="O5" i="7"/>
  <c r="N5" i="7"/>
  <c r="O33" i="7"/>
  <c r="N33" i="7"/>
  <c r="O24" i="7"/>
  <c r="N24" i="7"/>
  <c r="O30" i="7"/>
  <c r="N30" i="7"/>
  <c r="O4" i="7"/>
  <c r="N4" i="7"/>
  <c r="O58" i="7"/>
  <c r="N58" i="7"/>
  <c r="O53" i="7"/>
  <c r="N53" i="7"/>
  <c r="O6" i="7"/>
  <c r="N6" i="7"/>
  <c r="O38" i="7"/>
  <c r="N38" i="7"/>
  <c r="O29" i="7"/>
  <c r="N29" i="7"/>
  <c r="O13" i="7"/>
  <c r="N13" i="7"/>
  <c r="O12" i="7"/>
  <c r="N12" i="7"/>
  <c r="O39" i="7"/>
  <c r="N39" i="7"/>
  <c r="O23" i="7"/>
  <c r="N23" i="7"/>
  <c r="O31" i="7"/>
  <c r="N31" i="7"/>
  <c r="O19" i="7"/>
  <c r="N19" i="7"/>
  <c r="O45" i="7"/>
  <c r="N45" i="7"/>
  <c r="O11" i="7"/>
  <c r="N11" i="7"/>
  <c r="N10" i="7"/>
  <c r="O59" i="7"/>
  <c r="N59" i="7"/>
  <c r="O49" i="7"/>
  <c r="N49" i="7"/>
  <c r="O47" i="7"/>
  <c r="N47" i="7"/>
  <c r="O50" i="7"/>
  <c r="N50" i="7"/>
  <c r="O44" i="7"/>
  <c r="N44" i="7"/>
  <c r="O56" i="7"/>
  <c r="N56" i="7"/>
  <c r="O52" i="7"/>
  <c r="N52" i="7"/>
  <c r="O28" i="7"/>
  <c r="N28" i="7"/>
  <c r="O48" i="7"/>
  <c r="N48" i="7"/>
  <c r="O42" i="7"/>
  <c r="N42" i="7"/>
  <c r="O46" i="7"/>
  <c r="N46" i="7"/>
  <c r="O27" i="7"/>
  <c r="N27" i="7"/>
  <c r="O37" i="7"/>
  <c r="N37" i="7"/>
  <c r="O54" i="7"/>
  <c r="N54" i="7"/>
  <c r="O57" i="7"/>
  <c r="N57" i="7"/>
  <c r="O55" i="7"/>
  <c r="N55" i="7"/>
  <c r="O43" i="7"/>
  <c r="N43" i="7"/>
  <c r="O36" i="7"/>
  <c r="N36" i="7"/>
  <c r="O7" i="7"/>
  <c r="N7" i="7"/>
  <c r="O20" i="11"/>
  <c r="N20" i="11"/>
  <c r="O32" i="7"/>
  <c r="N32" i="7"/>
  <c r="O78" i="3"/>
  <c r="N78" i="3"/>
  <c r="O77" i="3"/>
  <c r="N77" i="3"/>
  <c r="O76" i="3"/>
  <c r="N76" i="3"/>
  <c r="O74" i="3"/>
  <c r="N74" i="3"/>
  <c r="O73" i="3"/>
  <c r="N73" i="3"/>
  <c r="O72" i="3"/>
  <c r="N72" i="3"/>
  <c r="O71" i="3"/>
  <c r="N71" i="3"/>
  <c r="O70" i="3"/>
  <c r="N70" i="3"/>
  <c r="O69" i="3"/>
  <c r="N69" i="3"/>
  <c r="O75" i="3"/>
  <c r="N75" i="3"/>
  <c r="O79" i="3"/>
  <c r="N79" i="3"/>
  <c r="O80" i="3"/>
  <c r="N80" i="3"/>
  <c r="O68" i="3"/>
  <c r="N68" i="3"/>
  <c r="O63" i="3"/>
  <c r="N63" i="3"/>
  <c r="O62" i="3"/>
  <c r="N62" i="3"/>
  <c r="O61" i="3"/>
  <c r="N61" i="3"/>
  <c r="O58" i="3"/>
  <c r="N58" i="3"/>
  <c r="O5" i="3"/>
  <c r="N5" i="3"/>
  <c r="O56" i="3"/>
  <c r="N56" i="3"/>
  <c r="O53" i="3"/>
  <c r="N53" i="3"/>
  <c r="O51" i="3"/>
  <c r="N51" i="3"/>
  <c r="O49" i="3"/>
  <c r="N49" i="3"/>
  <c r="O47" i="3"/>
  <c r="N47" i="3"/>
  <c r="O45" i="3"/>
  <c r="N45" i="3"/>
  <c r="O44" i="3"/>
  <c r="N44" i="3"/>
  <c r="O43" i="3"/>
  <c r="N43" i="3"/>
  <c r="O42" i="3"/>
  <c r="N42" i="3"/>
  <c r="O40" i="3"/>
  <c r="N40" i="3"/>
  <c r="O34" i="3"/>
  <c r="N34" i="3"/>
  <c r="O32" i="3"/>
  <c r="N32" i="3"/>
  <c r="O31" i="3"/>
  <c r="N31" i="3"/>
  <c r="O30" i="3"/>
  <c r="N30" i="3"/>
  <c r="O38" i="3"/>
  <c r="N38" i="3"/>
  <c r="O39" i="3"/>
  <c r="N39" i="3"/>
  <c r="O33" i="3"/>
  <c r="N33" i="3"/>
  <c r="O27" i="3"/>
  <c r="N27" i="3"/>
  <c r="O36" i="3"/>
  <c r="N36" i="3"/>
  <c r="O29" i="3"/>
  <c r="N29" i="3"/>
  <c r="O35" i="3"/>
  <c r="N35" i="3"/>
  <c r="O52" i="3"/>
  <c r="N52" i="3"/>
  <c r="O50" i="3"/>
  <c r="N50" i="3"/>
  <c r="O28" i="3"/>
  <c r="N28" i="3"/>
  <c r="O41" i="3"/>
  <c r="N41" i="3"/>
  <c r="O4" i="3"/>
  <c r="N4" i="3"/>
  <c r="O18" i="3"/>
  <c r="N18" i="3"/>
  <c r="O46" i="3"/>
  <c r="N46" i="3"/>
  <c r="O48" i="3"/>
  <c r="N48" i="3"/>
  <c r="O37" i="3"/>
  <c r="N37" i="3"/>
  <c r="O60" i="3"/>
  <c r="N60" i="3"/>
  <c r="O57" i="3"/>
  <c r="N57" i="3"/>
  <c r="O20" i="3"/>
  <c r="N20" i="3"/>
  <c r="O19" i="3"/>
  <c r="N19" i="3"/>
  <c r="O66" i="3"/>
  <c r="N66" i="3"/>
  <c r="O16" i="3"/>
  <c r="N16" i="3"/>
  <c r="O23" i="3"/>
  <c r="N23" i="3"/>
  <c r="O54" i="3"/>
  <c r="N54" i="3"/>
  <c r="O59" i="3"/>
  <c r="N59" i="3"/>
  <c r="O64" i="3"/>
  <c r="N64" i="3"/>
  <c r="O24" i="3"/>
  <c r="N24" i="3"/>
  <c r="O67" i="3"/>
  <c r="N67" i="3"/>
  <c r="O65" i="3"/>
  <c r="N65" i="3"/>
  <c r="O13" i="3"/>
  <c r="N13" i="3"/>
  <c r="O55" i="3"/>
  <c r="N55" i="3"/>
  <c r="O17" i="3"/>
  <c r="N17" i="3"/>
  <c r="N61" i="2"/>
  <c r="N10" i="3"/>
  <c r="O10" i="3"/>
  <c r="N81" i="2"/>
  <c r="M81" i="2"/>
  <c r="N80" i="2"/>
  <c r="M80" i="2"/>
  <c r="N78" i="2"/>
  <c r="M78" i="2"/>
  <c r="N77" i="2"/>
  <c r="M77" i="2"/>
  <c r="N75" i="2"/>
  <c r="M75" i="2"/>
  <c r="N74" i="2"/>
  <c r="M74" i="2"/>
  <c r="N73" i="2"/>
  <c r="M73" i="2"/>
  <c r="N72" i="2"/>
  <c r="M72" i="2"/>
  <c r="N71" i="2"/>
  <c r="M71" i="2"/>
  <c r="N70" i="2"/>
  <c r="M70" i="2"/>
  <c r="N69" i="2"/>
  <c r="M69" i="2"/>
  <c r="N76" i="2"/>
  <c r="M76" i="2"/>
  <c r="N79" i="2"/>
  <c r="M79" i="2"/>
  <c r="N58" i="2"/>
  <c r="M58" i="2"/>
  <c r="N68" i="2"/>
  <c r="M68" i="2"/>
  <c r="N63" i="2"/>
  <c r="M63" i="2"/>
  <c r="N62" i="2"/>
  <c r="M62" i="2"/>
  <c r="N59" i="2"/>
  <c r="M59" i="2"/>
  <c r="N55" i="2"/>
  <c r="M55" i="2"/>
  <c r="N53" i="2"/>
  <c r="M53" i="2"/>
  <c r="N52" i="2"/>
  <c r="M52" i="2"/>
  <c r="N49" i="2"/>
  <c r="M49" i="2"/>
  <c r="N44" i="2"/>
  <c r="M44" i="2"/>
  <c r="N43" i="2"/>
  <c r="M43" i="2"/>
  <c r="N42" i="2"/>
  <c r="M42" i="2"/>
  <c r="N41" i="2"/>
  <c r="M41" i="2"/>
  <c r="N40" i="2"/>
  <c r="M40" i="2"/>
  <c r="N39" i="2"/>
  <c r="M39" i="2"/>
  <c r="N36" i="2"/>
  <c r="M36" i="2"/>
  <c r="N35" i="2"/>
  <c r="M35" i="2"/>
  <c r="N34" i="2"/>
  <c r="M34" i="2"/>
  <c r="N33" i="2"/>
  <c r="M33" i="2"/>
  <c r="N32" i="2"/>
  <c r="M32" i="2"/>
  <c r="N31" i="2"/>
  <c r="M31" i="2"/>
  <c r="N30" i="2"/>
  <c r="M30" i="2"/>
  <c r="N28" i="2"/>
  <c r="M28" i="2"/>
  <c r="N27" i="2"/>
  <c r="M27" i="2"/>
  <c r="N25" i="2"/>
  <c r="M25" i="2"/>
  <c r="N24" i="2"/>
  <c r="M24" i="2"/>
  <c r="N23" i="2"/>
  <c r="M23" i="2"/>
  <c r="N21" i="2"/>
  <c r="M21" i="2"/>
  <c r="N20" i="2"/>
  <c r="M20" i="2"/>
  <c r="N56" i="2"/>
  <c r="M56" i="2"/>
  <c r="N37" i="2"/>
  <c r="M37" i="2"/>
  <c r="N19" i="2"/>
  <c r="M19" i="2"/>
  <c r="N22" i="2"/>
  <c r="M22" i="2"/>
  <c r="N38" i="2"/>
  <c r="M38" i="2"/>
  <c r="N50" i="2"/>
  <c r="M50" i="2"/>
  <c r="N18" i="2"/>
  <c r="M18" i="2"/>
  <c r="N48" i="2"/>
  <c r="M48" i="2"/>
  <c r="N60" i="2"/>
  <c r="M60" i="2"/>
  <c r="N29" i="2"/>
  <c r="M29" i="2"/>
  <c r="N51" i="2"/>
  <c r="M51" i="2"/>
  <c r="N54" i="2"/>
  <c r="M54" i="2"/>
  <c r="N45" i="2"/>
  <c r="M45" i="2"/>
  <c r="N65" i="2"/>
  <c r="M65" i="2"/>
  <c r="N66" i="2"/>
  <c r="M66" i="2"/>
  <c r="N46" i="2"/>
  <c r="M46" i="2"/>
  <c r="N47" i="2"/>
  <c r="M47" i="2"/>
  <c r="N57" i="2"/>
  <c r="M57" i="2"/>
  <c r="N15" i="2"/>
  <c r="M15" i="2"/>
  <c r="N12" i="2"/>
  <c r="M12" i="2"/>
  <c r="N26" i="2"/>
  <c r="M26" i="2"/>
  <c r="N64" i="2"/>
  <c r="M64" i="2"/>
  <c r="N67" i="2"/>
  <c r="M67" i="2"/>
  <c r="M61" i="2"/>
  <c r="O70" i="1"/>
  <c r="O69" i="1"/>
  <c r="O68" i="1"/>
  <c r="O67" i="1"/>
  <c r="O66" i="1"/>
  <c r="O65" i="1"/>
  <c r="O64" i="1"/>
  <c r="O63" i="1"/>
  <c r="O62" i="1"/>
  <c r="O61" i="1"/>
  <c r="O60" i="1"/>
  <c r="O59" i="1"/>
  <c r="O58" i="1"/>
  <c r="O57" i="1"/>
  <c r="O56" i="1"/>
  <c r="O53" i="1"/>
  <c r="O50" i="1"/>
  <c r="O51" i="1"/>
  <c r="O49" i="1"/>
  <c r="O48" i="1"/>
  <c r="O47" i="1"/>
  <c r="O45" i="1"/>
  <c r="O44" i="1"/>
  <c r="O42" i="1"/>
  <c r="O40" i="1"/>
  <c r="O36" i="1"/>
  <c r="O35" i="1"/>
  <c r="O33" i="1"/>
  <c r="O32" i="1"/>
  <c r="O31" i="1"/>
  <c r="O30" i="1"/>
  <c r="O29" i="1"/>
  <c r="O28" i="1"/>
  <c r="O27" i="1"/>
  <c r="O26" i="1"/>
  <c r="O25" i="1"/>
  <c r="O24" i="1"/>
  <c r="O23" i="1"/>
  <c r="O22" i="1"/>
  <c r="O21" i="1"/>
  <c r="O20" i="1"/>
  <c r="O19" i="1"/>
  <c r="O18" i="1"/>
  <c r="O16" i="1"/>
  <c r="O15" i="1"/>
  <c r="O14" i="1"/>
  <c r="O13" i="1"/>
  <c r="O11" i="1"/>
  <c r="O10" i="1"/>
  <c r="O9" i="1"/>
  <c r="O8" i="1"/>
  <c r="O6" i="1"/>
  <c r="O7" i="1"/>
  <c r="O54" i="1"/>
  <c r="O43" i="1"/>
  <c r="O37" i="1"/>
  <c r="O12" i="1"/>
  <c r="O55" i="1"/>
  <c r="O34" i="1"/>
  <c r="O39" i="1"/>
  <c r="O41" i="1"/>
  <c r="O38" i="1"/>
  <c r="O17" i="1"/>
  <c r="O46" i="1"/>
  <c r="O52" i="1"/>
  <c r="N70" i="1"/>
  <c r="N69" i="1"/>
  <c r="N68" i="1"/>
  <c r="N67" i="1"/>
  <c r="N66" i="1"/>
  <c r="N65" i="1"/>
  <c r="N64" i="1"/>
  <c r="N63" i="1"/>
  <c r="N62" i="1"/>
  <c r="N61" i="1"/>
  <c r="N60" i="1"/>
  <c r="N59" i="1"/>
  <c r="N58" i="1"/>
  <c r="N57" i="1"/>
  <c r="N56" i="1"/>
  <c r="N53" i="1"/>
  <c r="N50" i="1"/>
  <c r="N51" i="1"/>
  <c r="N49" i="1"/>
  <c r="N48" i="1"/>
  <c r="N47" i="1"/>
  <c r="N45" i="1"/>
  <c r="N44" i="1"/>
  <c r="N42" i="1"/>
  <c r="N40" i="1"/>
  <c r="N36" i="1"/>
  <c r="N35" i="1"/>
  <c r="N33" i="1"/>
  <c r="N32" i="1"/>
  <c r="N31" i="1"/>
  <c r="N30" i="1"/>
  <c r="N29" i="1"/>
  <c r="N28" i="1"/>
  <c r="N27" i="1"/>
  <c r="N26" i="1"/>
  <c r="N25" i="1"/>
  <c r="N24" i="1"/>
  <c r="N23" i="1"/>
  <c r="N22" i="1"/>
  <c r="N21" i="1"/>
  <c r="N20" i="1"/>
  <c r="N19" i="1"/>
  <c r="N18" i="1"/>
  <c r="N16" i="1"/>
  <c r="N15" i="1"/>
  <c r="N14" i="1"/>
  <c r="N13" i="1"/>
  <c r="N11" i="1"/>
  <c r="N10" i="1"/>
  <c r="N9" i="1"/>
  <c r="N8" i="1"/>
  <c r="N6" i="1"/>
  <c r="N7" i="1"/>
  <c r="N54" i="1"/>
  <c r="N43" i="1"/>
  <c r="N37" i="1"/>
  <c r="N12" i="1"/>
  <c r="N55" i="1"/>
  <c r="N34" i="1"/>
  <c r="N39" i="1"/>
  <c r="N41" i="1"/>
  <c r="N38" i="1"/>
  <c r="N17" i="1"/>
  <c r="N46" i="1"/>
  <c r="N52" i="1"/>
  <c r="M41" i="15"/>
  <c r="BA20" i="11"/>
  <c r="M14" i="7"/>
  <c r="M57" i="3"/>
  <c r="M58" i="21"/>
  <c r="M49" i="21"/>
  <c r="M12" i="21"/>
  <c r="M59" i="21"/>
  <c r="M15" i="21"/>
  <c r="M60" i="21"/>
  <c r="M44" i="21"/>
  <c r="M29" i="21"/>
  <c r="M48" i="21"/>
  <c r="M42" i="1"/>
  <c r="BA42" i="1"/>
  <c r="BC42" i="1"/>
  <c r="BD42" i="1"/>
  <c r="CH1135" i="28"/>
  <c r="CH1128" i="28"/>
  <c r="CH1121" i="28"/>
  <c r="CH1109" i="28"/>
  <c r="CH1106" i="28"/>
  <c r="CH1101" i="28"/>
  <c r="CH1099" i="28"/>
  <c r="CH1098" i="28"/>
  <c r="CH1096" i="28"/>
  <c r="CH1072" i="28"/>
  <c r="CH1071" i="28"/>
  <c r="CH1082" i="28"/>
  <c r="CH1080" i="28"/>
  <c r="CH1079" i="28"/>
  <c r="CH1078" i="28"/>
  <c r="CH1066" i="28"/>
  <c r="CH1075" i="28"/>
  <c r="CH1073" i="28"/>
  <c r="CH1064" i="28"/>
  <c r="CH1070" i="28"/>
  <c r="CH1081" i="28"/>
  <c r="CH1067" i="28"/>
  <c r="CH1060" i="28"/>
  <c r="CH1059" i="28"/>
  <c r="CH1058" i="28"/>
  <c r="CH1057" i="28"/>
  <c r="CH1055" i="28"/>
  <c r="CH1054" i="28"/>
  <c r="CH1053" i="28"/>
  <c r="CH1052" i="28"/>
  <c r="CH1051" i="28"/>
  <c r="CH1050" i="28"/>
  <c r="CH1049" i="28"/>
  <c r="CH1048" i="28"/>
  <c r="CH1047" i="28"/>
  <c r="CH1043" i="28"/>
  <c r="CH1040" i="28"/>
  <c r="CH1039" i="28"/>
  <c r="M59" i="7"/>
  <c r="M9" i="1"/>
  <c r="BA9" i="1"/>
  <c r="M29" i="1"/>
  <c r="M54" i="7"/>
  <c r="M23" i="3"/>
  <c r="M68" i="3"/>
  <c r="M34" i="1"/>
  <c r="M31" i="7"/>
  <c r="M57" i="7"/>
  <c r="M55" i="7"/>
  <c r="M46" i="7"/>
  <c r="M42" i="7"/>
  <c r="M48" i="7"/>
  <c r="M64" i="7"/>
  <c r="M50" i="15"/>
  <c r="M49" i="15"/>
  <c r="M32" i="15"/>
  <c r="M21" i="15"/>
  <c r="M48" i="15"/>
  <c r="M47" i="15"/>
  <c r="M11" i="15"/>
  <c r="M36" i="15"/>
  <c r="M10" i="15"/>
  <c r="M28" i="15"/>
  <c r="M44" i="15"/>
  <c r="M46" i="15"/>
  <c r="M45" i="15"/>
  <c r="M35" i="15"/>
  <c r="H101" i="7"/>
  <c r="I101" i="7"/>
  <c r="H103" i="7"/>
  <c r="J101" i="7"/>
  <c r="K101" i="7"/>
  <c r="BA28" i="11"/>
  <c r="M39" i="1"/>
  <c r="K62" i="15"/>
  <c r="J62" i="15"/>
  <c r="I62" i="15"/>
  <c r="BC41" i="1"/>
  <c r="BD41" i="1"/>
  <c r="M55" i="11"/>
  <c r="M22" i="1"/>
  <c r="O54" i="2"/>
  <c r="M44" i="7"/>
  <c r="M78" i="3"/>
  <c r="M71" i="3"/>
  <c r="M73" i="3"/>
  <c r="M72" i="3"/>
  <c r="M70" i="3"/>
  <c r="M75" i="3"/>
  <c r="M69" i="3"/>
  <c r="M63" i="3"/>
  <c r="M61" i="3"/>
  <c r="M47" i="3"/>
  <c r="M43" i="3"/>
  <c r="M34" i="3"/>
  <c r="M31" i="3"/>
  <c r="M38" i="3"/>
  <c r="M27" i="3"/>
  <c r="M44" i="3"/>
  <c r="M56" i="3"/>
  <c r="M30" i="3"/>
  <c r="M42" i="3"/>
  <c r="M62" i="3"/>
  <c r="M36" i="3"/>
  <c r="M54" i="11"/>
  <c r="M29" i="11"/>
  <c r="M45" i="11"/>
  <c r="M88" i="21"/>
  <c r="M87" i="21"/>
  <c r="M86" i="21"/>
  <c r="M85" i="21"/>
  <c r="M84" i="21"/>
  <c r="M83" i="21"/>
  <c r="M82" i="21"/>
  <c r="M81" i="21"/>
  <c r="M80" i="21"/>
  <c r="M79" i="21"/>
  <c r="M78" i="21"/>
  <c r="O81" i="2"/>
  <c r="O80" i="2"/>
  <c r="O69" i="2"/>
  <c r="O75" i="2"/>
  <c r="O77" i="2"/>
  <c r="O76" i="2"/>
  <c r="O68" i="2"/>
  <c r="O55" i="2"/>
  <c r="O49" i="2"/>
  <c r="O43" i="2"/>
  <c r="O41" i="2"/>
  <c r="O40" i="2"/>
  <c r="O39" i="2"/>
  <c r="O32" i="2"/>
  <c r="O28" i="2"/>
  <c r="O27" i="2"/>
  <c r="O23" i="2"/>
  <c r="O30" i="2"/>
  <c r="O31" i="2"/>
  <c r="O56" i="2"/>
  <c r="O18" i="2"/>
  <c r="O47" i="2"/>
  <c r="M69" i="1"/>
  <c r="M68" i="1"/>
  <c r="M67" i="1"/>
  <c r="M66" i="1"/>
  <c r="M65" i="1"/>
  <c r="M63" i="1"/>
  <c r="M64" i="1"/>
  <c r="M62" i="1"/>
  <c r="M61" i="1"/>
  <c r="M60" i="1"/>
  <c r="M59" i="1"/>
  <c r="M57" i="1"/>
  <c r="M58" i="1"/>
  <c r="M70" i="1"/>
  <c r="M56" i="1"/>
  <c r="M53" i="1"/>
  <c r="M50" i="1"/>
  <c r="M47" i="1"/>
  <c r="M45" i="1"/>
  <c r="M40" i="1"/>
  <c r="M36" i="1"/>
  <c r="M31" i="1"/>
  <c r="M28" i="1"/>
  <c r="M26" i="1"/>
  <c r="M25" i="1"/>
  <c r="M24" i="1"/>
  <c r="M21" i="1"/>
  <c r="M20" i="1"/>
  <c r="M19" i="1"/>
  <c r="M18" i="1"/>
  <c r="M16" i="1"/>
  <c r="M10" i="1"/>
  <c r="M27" i="1"/>
  <c r="M6" i="1"/>
  <c r="M8" i="1"/>
  <c r="M23" i="1"/>
  <c r="M30" i="1"/>
  <c r="M7" i="1"/>
  <c r="M35" i="1"/>
  <c r="M54" i="1"/>
  <c r="M14" i="1"/>
  <c r="M43" i="1"/>
  <c r="M15" i="1"/>
  <c r="M13" i="1"/>
  <c r="M44" i="1"/>
  <c r="M49" i="1"/>
  <c r="BC55" i="1"/>
  <c r="BD55" i="1"/>
  <c r="M33" i="1"/>
  <c r="M11" i="1"/>
  <c r="M51" i="1"/>
  <c r="M32" i="1"/>
  <c r="M37" i="1"/>
  <c r="M12" i="1"/>
  <c r="M38" i="1"/>
  <c r="M17" i="1"/>
  <c r="M46" i="1"/>
  <c r="M48" i="1"/>
  <c r="BA31" i="11"/>
  <c r="BA23" i="11"/>
  <c r="BA22" i="11"/>
  <c r="BA26" i="11"/>
  <c r="BA39" i="11"/>
  <c r="BA8" i="11"/>
  <c r="BA41" i="11"/>
  <c r="BA4" i="11"/>
  <c r="BA21" i="11"/>
  <c r="BA5" i="11"/>
  <c r="BA7" i="11"/>
  <c r="BA44" i="11"/>
  <c r="BA24" i="11"/>
  <c r="BA37" i="11"/>
  <c r="BA36" i="11"/>
  <c r="BA40" i="11"/>
  <c r="BA38" i="11"/>
  <c r="BA10" i="11"/>
  <c r="BA9" i="11"/>
  <c r="BA11" i="11"/>
  <c r="BA12" i="11"/>
  <c r="BA13" i="11"/>
  <c r="BA42" i="11"/>
  <c r="BA32" i="11"/>
  <c r="BA50" i="11"/>
  <c r="BA16" i="11"/>
  <c r="BA17" i="11"/>
  <c r="BA43" i="11"/>
  <c r="BA6" i="11"/>
  <c r="BA14" i="11"/>
  <c r="BA18" i="11"/>
  <c r="BA19" i="11"/>
  <c r="BA25" i="11"/>
  <c r="BA29" i="11"/>
  <c r="BA30" i="11"/>
  <c r="BA35" i="11"/>
  <c r="BA45" i="11"/>
  <c r="BA46" i="11"/>
  <c r="BA47" i="11"/>
  <c r="BA48" i="11"/>
  <c r="BA49" i="11"/>
  <c r="BA51" i="11"/>
  <c r="BA52" i="11"/>
  <c r="BA53" i="11"/>
  <c r="BA54" i="11"/>
  <c r="BA55" i="11"/>
  <c r="BA56" i="11"/>
  <c r="BA57" i="11"/>
  <c r="BA58" i="11"/>
  <c r="BA59" i="11"/>
  <c r="BA60" i="11"/>
  <c r="BA61" i="11"/>
  <c r="BA63" i="11"/>
  <c r="BA65" i="11"/>
  <c r="H65" i="11"/>
  <c r="K108" i="1"/>
  <c r="J108" i="1"/>
  <c r="I108" i="1"/>
  <c r="H108" i="1"/>
  <c r="H102" i="1"/>
  <c r="BA4" i="7"/>
  <c r="BA24" i="7"/>
  <c r="BA32" i="7"/>
  <c r="BA33" i="7"/>
  <c r="BA6" i="7"/>
  <c r="BA20" i="7"/>
  <c r="BA7" i="7"/>
  <c r="BA8" i="7"/>
  <c r="BA9" i="7"/>
  <c r="BA11" i="7"/>
  <c r="BA31" i="7"/>
  <c r="BA23" i="7"/>
  <c r="BA12" i="7"/>
  <c r="BA13" i="7"/>
  <c r="BA15" i="7"/>
  <c r="BA16" i="7"/>
  <c r="BA17" i="7"/>
  <c r="BA18" i="7"/>
  <c r="BA29" i="7"/>
  <c r="BA30" i="7"/>
  <c r="BA10" i="7"/>
  <c r="BA5" i="7"/>
  <c r="BA19" i="7"/>
  <c r="BA21" i="7"/>
  <c r="BA22" i="7"/>
  <c r="BA38" i="7"/>
  <c r="BA39" i="7"/>
  <c r="BA27" i="7"/>
  <c r="BA14" i="7"/>
  <c r="BA28" i="7"/>
  <c r="BA25" i="7"/>
  <c r="BA26" i="7"/>
  <c r="BA36" i="7"/>
  <c r="BA45" i="7"/>
  <c r="BA37" i="7"/>
  <c r="BA34" i="7"/>
  <c r="BA35" i="7"/>
  <c r="BA48" i="7"/>
  <c r="BA52" i="7"/>
  <c r="BA56" i="7"/>
  <c r="BA43" i="7"/>
  <c r="BA60" i="7"/>
  <c r="BA40" i="7"/>
  <c r="BA41" i="7"/>
  <c r="BA42" i="7"/>
  <c r="BA44" i="7"/>
  <c r="BA46" i="7"/>
  <c r="BA47" i="7"/>
  <c r="BA49" i="7"/>
  <c r="BA50" i="7"/>
  <c r="BA51" i="7"/>
  <c r="BA53" i="7"/>
  <c r="BA54" i="7"/>
  <c r="BA55" i="7"/>
  <c r="BA57" i="7"/>
  <c r="BA58" i="7"/>
  <c r="BA59" i="7"/>
  <c r="BA61" i="7"/>
  <c r="BA62" i="7"/>
  <c r="BA63" i="7"/>
  <c r="BA64" i="7"/>
  <c r="BA65" i="7"/>
  <c r="BA66" i="7"/>
  <c r="BA67" i="7"/>
  <c r="BA68" i="7"/>
  <c r="BA69" i="7"/>
  <c r="BA70" i="7"/>
  <c r="BA71" i="7"/>
  <c r="BA72" i="7"/>
  <c r="BA73" i="7"/>
  <c r="BA74" i="7"/>
  <c r="BA75" i="7"/>
  <c r="BA76" i="7"/>
  <c r="BA77" i="7"/>
  <c r="BA78" i="7"/>
  <c r="BA79" i="7"/>
  <c r="BA80" i="7"/>
  <c r="BA81" i="7"/>
  <c r="BA82" i="7"/>
  <c r="BA85" i="7"/>
  <c r="H94" i="7"/>
  <c r="BA95" i="7"/>
  <c r="H95" i="7"/>
  <c r="H96" i="7"/>
  <c r="BA36" i="3"/>
  <c r="BA52" i="3"/>
  <c r="BA10" i="3"/>
  <c r="BA6" i="3"/>
  <c r="BA7" i="3"/>
  <c r="BA65" i="3"/>
  <c r="BA8" i="3"/>
  <c r="BA9" i="3"/>
  <c r="BA18" i="3"/>
  <c r="BA19" i="3"/>
  <c r="BA20" i="3"/>
  <c r="BA13" i="3"/>
  <c r="BA4" i="3"/>
  <c r="BA5" i="3"/>
  <c r="BA11" i="3"/>
  <c r="BA12" i="3"/>
  <c r="BA14" i="3"/>
  <c r="BA15" i="3"/>
  <c r="BA16" i="3"/>
  <c r="BA17" i="3"/>
  <c r="BA21" i="3"/>
  <c r="BA22" i="3"/>
  <c r="BA23" i="3"/>
  <c r="BA24" i="3"/>
  <c r="BA25" i="3"/>
  <c r="BA26" i="3"/>
  <c r="BA27" i="3"/>
  <c r="BA28" i="3"/>
  <c r="BA29" i="3"/>
  <c r="BA30" i="3"/>
  <c r="BA31" i="3"/>
  <c r="BA32" i="3"/>
  <c r="BA33" i="3"/>
  <c r="BA34" i="3"/>
  <c r="BA35" i="3"/>
  <c r="BA37" i="3"/>
  <c r="BA38" i="3"/>
  <c r="BA39" i="3"/>
  <c r="BA40" i="3"/>
  <c r="BA41" i="3"/>
  <c r="BA42" i="3"/>
  <c r="BA43" i="3"/>
  <c r="BA44" i="3"/>
  <c r="BA45" i="3"/>
  <c r="BA46" i="3"/>
  <c r="BA47" i="3"/>
  <c r="BA48" i="3"/>
  <c r="BA49" i="3"/>
  <c r="BA50" i="3"/>
  <c r="BA51" i="3"/>
  <c r="BA53" i="3"/>
  <c r="BA54" i="3"/>
  <c r="BA55" i="3"/>
  <c r="BA56" i="3"/>
  <c r="BA57" i="3"/>
  <c r="BA58" i="3"/>
  <c r="BA59" i="3"/>
  <c r="BA60" i="3"/>
  <c r="BA61" i="3"/>
  <c r="BA62" i="3"/>
  <c r="BA63" i="3"/>
  <c r="BA64" i="3"/>
  <c r="BA66" i="3"/>
  <c r="BA67" i="3"/>
  <c r="BA68" i="3"/>
  <c r="BA69" i="3"/>
  <c r="BA70" i="3"/>
  <c r="BA71" i="3"/>
  <c r="BA72" i="3"/>
  <c r="BA73" i="3"/>
  <c r="BA74" i="3"/>
  <c r="BA75" i="3"/>
  <c r="BA76" i="3"/>
  <c r="BA77" i="3"/>
  <c r="BA78" i="3"/>
  <c r="BA79" i="3"/>
  <c r="BA80" i="3"/>
  <c r="BA81" i="3"/>
  <c r="BA82" i="3"/>
  <c r="BA83" i="3"/>
  <c r="BA84" i="3"/>
  <c r="BA85" i="3"/>
  <c r="BA86" i="3"/>
  <c r="BA87" i="3"/>
  <c r="BA88" i="3"/>
  <c r="BA89" i="3"/>
  <c r="BA90" i="3"/>
  <c r="BA91" i="3"/>
  <c r="BA92" i="3"/>
  <c r="BA93" i="3"/>
  <c r="BA94" i="3"/>
  <c r="BA95" i="3"/>
  <c r="BA96" i="3"/>
  <c r="BA97" i="3"/>
  <c r="BA98" i="3"/>
  <c r="BA99" i="3"/>
  <c r="BA106" i="3"/>
  <c r="H106" i="3"/>
  <c r="H105" i="3"/>
  <c r="H107" i="3"/>
  <c r="K111" i="3"/>
  <c r="J111" i="3"/>
  <c r="I111" i="3"/>
  <c r="H111" i="3"/>
  <c r="H113" i="3"/>
  <c r="BA57" i="2"/>
  <c r="BA61" i="2"/>
  <c r="BA67" i="2"/>
  <c r="BA58" i="2"/>
  <c r="BA4" i="2"/>
  <c r="BA5" i="2"/>
  <c r="BA7" i="2"/>
  <c r="BA8" i="2"/>
  <c r="BA9" i="2"/>
  <c r="BA10" i="2"/>
  <c r="BA11" i="2"/>
  <c r="BA12" i="2"/>
  <c r="BA13" i="2"/>
  <c r="BA14" i="2"/>
  <c r="BA66" i="2"/>
  <c r="BA65" i="2"/>
  <c r="BA45" i="2"/>
  <c r="BA54" i="2"/>
  <c r="BA51" i="2"/>
  <c r="BA29" i="2"/>
  <c r="BA15" i="2"/>
  <c r="BA16" i="2"/>
  <c r="BA17" i="2"/>
  <c r="BA18" i="2"/>
  <c r="BA19" i="2"/>
  <c r="BA20" i="2"/>
  <c r="BA21" i="2"/>
  <c r="BA22" i="2"/>
  <c r="BA23" i="2"/>
  <c r="BA24" i="2"/>
  <c r="BA25" i="2"/>
  <c r="BA26" i="2"/>
  <c r="BA27" i="2"/>
  <c r="BA28" i="2"/>
  <c r="BA30" i="2"/>
  <c r="BA31" i="2"/>
  <c r="BA32" i="2"/>
  <c r="BA33" i="2"/>
  <c r="BA34" i="2"/>
  <c r="BA35" i="2"/>
  <c r="BA36" i="2"/>
  <c r="BA37" i="2"/>
  <c r="BA38" i="2"/>
  <c r="BA39" i="2"/>
  <c r="BA40" i="2"/>
  <c r="BA41" i="2"/>
  <c r="BA42" i="2"/>
  <c r="BA43" i="2"/>
  <c r="BA44" i="2"/>
  <c r="BA46" i="2"/>
  <c r="BA47" i="2"/>
  <c r="BA48" i="2"/>
  <c r="BA49" i="2"/>
  <c r="BA50" i="2"/>
  <c r="BA52" i="2"/>
  <c r="BA53" i="2"/>
  <c r="BA55" i="2"/>
  <c r="BA56" i="2"/>
  <c r="BA59" i="2"/>
  <c r="BA60" i="2"/>
  <c r="BA62" i="2"/>
  <c r="BA63" i="2"/>
  <c r="BA64" i="2"/>
  <c r="BA68" i="2"/>
  <c r="BA69" i="2"/>
  <c r="BA70" i="2"/>
  <c r="BA71" i="2"/>
  <c r="BA72" i="2"/>
  <c r="BA73" i="2"/>
  <c r="BA74" i="2"/>
  <c r="BA75" i="2"/>
  <c r="BA76" i="2"/>
  <c r="BA77" i="2"/>
  <c r="BA78" i="2"/>
  <c r="BA79" i="2"/>
  <c r="BA80" i="2"/>
  <c r="BA81" i="2"/>
  <c r="BA82" i="2"/>
  <c r="BA83" i="2"/>
  <c r="BA84" i="2"/>
  <c r="BA85" i="2"/>
  <c r="BA86" i="2"/>
  <c r="BA87" i="2"/>
  <c r="BA88" i="2"/>
  <c r="BA89" i="2"/>
  <c r="BA90" i="2"/>
  <c r="BA91" i="2"/>
  <c r="BA92" i="2"/>
  <c r="BA93" i="2"/>
  <c r="BA94" i="2"/>
  <c r="BA95" i="2"/>
  <c r="BA96" i="2"/>
  <c r="H102" i="2"/>
  <c r="K108" i="2"/>
  <c r="J108" i="2"/>
  <c r="I108" i="2"/>
  <c r="BA51" i="1"/>
  <c r="BA52" i="1"/>
  <c r="BA46" i="1"/>
  <c r="BA17" i="1"/>
  <c r="BA38" i="1"/>
  <c r="BA34" i="1"/>
  <c r="BA12" i="1"/>
  <c r="BA37" i="1"/>
  <c r="BA41" i="1"/>
  <c r="BA39" i="1"/>
  <c r="BA43" i="1"/>
  <c r="BA54" i="1"/>
  <c r="BA7" i="1"/>
  <c r="BA55" i="1"/>
  <c r="BA5" i="1"/>
  <c r="BA6" i="1"/>
  <c r="BA8" i="1"/>
  <c r="BA10" i="1"/>
  <c r="BA11" i="1"/>
  <c r="BA13" i="1"/>
  <c r="BA14" i="1"/>
  <c r="BA15" i="1"/>
  <c r="BA16" i="1"/>
  <c r="BA18" i="1"/>
  <c r="BA19" i="1"/>
  <c r="BA20" i="1"/>
  <c r="BA21" i="1"/>
  <c r="BA22" i="1"/>
  <c r="BA23" i="1"/>
  <c r="BA24" i="1"/>
  <c r="BA25" i="1"/>
  <c r="BA26" i="1"/>
  <c r="BA27" i="1"/>
  <c r="BA28" i="1"/>
  <c r="BA29" i="1"/>
  <c r="BA30" i="1"/>
  <c r="BA31" i="1"/>
  <c r="BA32" i="1"/>
  <c r="BA33" i="1"/>
  <c r="BA35" i="1"/>
  <c r="BA36" i="1"/>
  <c r="BA40" i="1"/>
  <c r="BA44" i="1"/>
  <c r="BA45" i="1"/>
  <c r="BA47" i="1"/>
  <c r="BA48" i="1"/>
  <c r="BA49" i="1"/>
  <c r="BA50" i="1"/>
  <c r="BA53"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C87" i="1"/>
  <c r="BD87" i="1"/>
  <c r="BC73" i="1"/>
  <c r="BD73" i="1"/>
  <c r="BC72" i="1"/>
  <c r="BD72" i="1"/>
  <c r="BC66" i="1"/>
  <c r="BD66" i="1"/>
  <c r="BC53" i="1"/>
  <c r="BD53" i="1"/>
  <c r="BC24" i="1"/>
  <c r="BD24" i="1"/>
  <c r="BC88" i="1"/>
  <c r="BD88" i="1"/>
  <c r="BC89" i="1"/>
  <c r="BD89" i="1"/>
  <c r="BC86" i="1"/>
  <c r="BD86" i="1"/>
  <c r="BC85" i="1"/>
  <c r="BD85" i="1"/>
  <c r="BC83" i="1"/>
  <c r="BD83" i="1"/>
  <c r="BC82" i="1"/>
  <c r="BD82" i="1"/>
  <c r="BC81" i="1"/>
  <c r="BD81" i="1"/>
  <c r="BC80" i="1"/>
  <c r="BD80" i="1"/>
  <c r="BC79" i="1"/>
  <c r="BD79" i="1"/>
  <c r="BC78" i="1"/>
  <c r="BD78" i="1"/>
  <c r="BC77" i="1"/>
  <c r="BD77" i="1"/>
  <c r="BC76" i="1"/>
  <c r="BD76" i="1"/>
  <c r="BC75" i="1"/>
  <c r="BD75" i="1"/>
  <c r="BC74" i="1"/>
  <c r="BD74" i="1"/>
  <c r="BC71" i="1"/>
  <c r="BD71" i="1"/>
  <c r="BC62" i="1"/>
  <c r="BD62" i="1"/>
  <c r="BC59" i="1"/>
  <c r="BD59" i="1"/>
  <c r="BC60" i="1"/>
  <c r="BD60" i="1"/>
  <c r="BC57" i="1"/>
  <c r="BD57" i="1"/>
  <c r="BC56" i="1"/>
  <c r="BD56" i="1"/>
  <c r="BC47" i="1"/>
  <c r="BD47" i="1"/>
  <c r="BC40" i="1"/>
  <c r="BD40" i="1"/>
  <c r="BC29" i="1"/>
  <c r="BD29" i="1"/>
  <c r="BC28" i="1"/>
  <c r="BD28" i="1"/>
  <c r="BC25" i="1"/>
  <c r="BD25" i="1"/>
  <c r="BC21" i="1"/>
  <c r="BD21" i="1"/>
  <c r="BC18" i="1"/>
  <c r="BD18" i="1"/>
  <c r="BC10" i="1"/>
  <c r="BD10" i="1"/>
  <c r="BC5" i="1"/>
  <c r="BD5" i="1"/>
  <c r="BC8" i="1"/>
  <c r="BD8" i="1"/>
  <c r="BC68" i="1"/>
  <c r="BD68" i="1"/>
  <c r="BC19" i="1"/>
  <c r="BD19" i="1"/>
  <c r="BC65" i="1"/>
  <c r="BD65" i="1"/>
  <c r="BC63" i="1"/>
  <c r="BD63" i="1"/>
  <c r="BC64" i="1"/>
  <c r="BD64" i="1"/>
  <c r="BC84" i="1"/>
  <c r="BD84" i="1"/>
  <c r="BC14" i="1"/>
  <c r="BD14" i="1"/>
  <c r="BC43" i="1"/>
  <c r="BD43" i="1"/>
  <c r="BC15" i="1"/>
  <c r="BD15" i="1"/>
  <c r="BC22" i="1"/>
  <c r="BD22" i="1"/>
  <c r="BC58" i="1"/>
  <c r="BD58" i="1"/>
  <c r="BC27" i="1"/>
  <c r="BD27" i="1"/>
  <c r="BC70" i="1"/>
  <c r="BD70" i="1"/>
  <c r="BC54" i="1"/>
  <c r="BD54" i="1"/>
  <c r="BC45" i="1"/>
  <c r="BD45" i="1"/>
  <c r="BC44" i="1"/>
  <c r="BD44" i="1"/>
  <c r="BC49" i="1"/>
  <c r="BD49" i="1"/>
  <c r="BC34" i="1"/>
  <c r="BD34" i="1"/>
  <c r="BC7" i="1"/>
  <c r="BD7" i="1"/>
  <c r="BC33" i="1"/>
  <c r="BD33" i="1"/>
  <c r="BC38" i="1"/>
  <c r="BD38" i="1"/>
  <c r="BC39" i="1"/>
  <c r="BD39" i="1"/>
  <c r="BC17" i="1"/>
  <c r="BD17" i="1"/>
  <c r="BC46" i="1"/>
  <c r="BD46" i="1"/>
  <c r="BC48" i="1"/>
  <c r="BD48" i="1"/>
  <c r="BC32" i="1"/>
  <c r="BD32" i="1"/>
  <c r="BC11" i="1"/>
  <c r="BD11" i="1"/>
  <c r="BC37" i="1"/>
  <c r="BD37" i="1"/>
  <c r="BC51" i="1"/>
  <c r="BD51" i="1"/>
  <c r="BC101" i="1"/>
  <c r="BC95" i="1"/>
  <c r="BC94" i="1"/>
  <c r="BC93" i="1"/>
  <c r="BC92" i="1"/>
  <c r="BC91" i="1"/>
  <c r="BC90" i="1"/>
  <c r="BC23" i="1"/>
  <c r="BD23" i="1"/>
  <c r="BC26" i="1"/>
  <c r="BD26" i="1"/>
  <c r="M8" i="15"/>
  <c r="M55" i="1"/>
  <c r="L109" i="1"/>
  <c r="BC9" i="1"/>
  <c r="BD9" i="1"/>
  <c r="BC6" i="1"/>
  <c r="BD6" i="1"/>
  <c r="M41" i="1"/>
  <c r="M4" i="15"/>
  <c r="BC20" i="1"/>
  <c r="BD20" i="1"/>
  <c r="BC30" i="1"/>
  <c r="BD30" i="1"/>
  <c r="BC69" i="1"/>
  <c r="BD69" i="1"/>
  <c r="H111" i="1"/>
  <c r="H110" i="1"/>
  <c r="BC31" i="1"/>
  <c r="BD31" i="1"/>
  <c r="BC36" i="1"/>
  <c r="BD36" i="1"/>
  <c r="BC67" i="1"/>
  <c r="BD67" i="1"/>
  <c r="BC35" i="1"/>
  <c r="BD35" i="1"/>
  <c r="BC13" i="1"/>
  <c r="BD13" i="1"/>
  <c r="BC12" i="1"/>
  <c r="BD12" i="1"/>
  <c r="BC52" i="1"/>
  <c r="BD52" i="1"/>
  <c r="BC61" i="1"/>
  <c r="BD61" i="1"/>
  <c r="BC50" i="1"/>
  <c r="BD50" i="1"/>
  <c r="BC16" i="1"/>
  <c r="BD16" i="1"/>
  <c r="BA103" i="1"/>
  <c r="H103" i="1"/>
  <c r="H104" i="1"/>
  <c r="O67" i="2"/>
  <c r="L111" i="3"/>
  <c r="M5" i="21"/>
  <c r="M6" i="21"/>
  <c r="H111" i="2"/>
  <c r="L108" i="2"/>
  <c r="L109" i="2"/>
  <c r="BA103" i="2"/>
  <c r="H103" i="2"/>
  <c r="H104" i="2"/>
  <c r="H110" i="2"/>
  <c r="M5" i="11"/>
  <c r="H55" i="15"/>
  <c r="H57" i="15"/>
  <c r="L62" i="15"/>
  <c r="M31" i="36"/>
  <c r="H114" i="3"/>
  <c r="L112" i="3"/>
  <c r="H121" i="36"/>
  <c r="L102" i="7"/>
  <c r="H104" i="7"/>
  <c r="BA66" i="25"/>
  <c r="H68" i="25"/>
  <c r="H73" i="21"/>
  <c r="L63" i="15"/>
  <c r="H64" i="15"/>
  <c r="H65" i="15"/>
  <c r="H67" i="25"/>
  <c r="H69" i="25"/>
  <c r="H122" i="36"/>
  <c r="H112" i="36"/>
  <c r="BA111" i="36"/>
  <c r="H113" i="36"/>
  <c r="H114" i="36"/>
  <c r="L119" i="36"/>
  <c r="L120" i="36"/>
  <c r="CH1083" i="28"/>
  <c r="N1047" i="28"/>
  <c r="R1046" i="28"/>
  <c r="AY1039" i="28"/>
  <c r="N1050" i="28"/>
  <c r="N1040" i="28"/>
  <c r="H74" i="21"/>
  <c r="H64" i="21"/>
  <c r="BA62" i="21"/>
  <c r="H65" i="21"/>
  <c r="O1044" i="28"/>
  <c r="AZ1039" i="28"/>
  <c r="H77" i="25"/>
  <c r="H74" i="11"/>
  <c r="N1053" i="28"/>
  <c r="R1040" i="28"/>
  <c r="L71" i="11"/>
  <c r="L72" i="11"/>
  <c r="H73" i="11"/>
  <c r="H64" i="11"/>
  <c r="H66" i="11"/>
  <c r="M1050" i="28"/>
  <c r="H66" i="21"/>
</calcChain>
</file>

<file path=xl/sharedStrings.xml><?xml version="1.0" encoding="utf-8"?>
<sst xmlns="http://schemas.openxmlformats.org/spreadsheetml/2006/main" count="18866" uniqueCount="5747">
  <si>
    <t>Hotcha Do It</t>
  </si>
  <si>
    <t>Offered but was RNA ($0) at the 2012 Keeneland January Horses of All Ages Sale.</t>
  </si>
  <si>
    <t>Removed from the 2012 Keeneland January Horses of All Ages Sale.</t>
  </si>
  <si>
    <t>Hong Kong</t>
    <phoneticPr fontId="2" type="noConversion"/>
  </si>
  <si>
    <t>Cartoon Fay Fay</t>
    <phoneticPr fontId="2" type="noConversion"/>
  </si>
  <si>
    <t>Motivated</t>
  </si>
  <si>
    <t>Cloudy Moon</t>
  </si>
  <si>
    <t>Smarty Mo</t>
  </si>
  <si>
    <t>TX - Austin</t>
    <phoneticPr fontId="2" type="noConversion"/>
  </si>
  <si>
    <t>Mad for Smarty retired in December 2011 and was given to Madison Scott. He had a small tear in the XYZ ligament in his right front and, since late September, undergoing rehab. He was gelded in early November. // Mad For You is named for Madison Scott, a friend of Pat Chapman. The name was suggested by Madison's mom on visit to Three Chimneys Farm in July 2009. // Offered at the 2008 Saratoga Selected Yearlings Sale, consigned by Three Chimneys Sales. Reserve not met. // Santaria is a stakes winner and was second in a G1 and a bunch of G2's AND she's the dam of Medallist and Air Commander.</t>
    <phoneticPr fontId="2" type="noConversion"/>
  </si>
  <si>
    <t>gelding, b. (KY)</t>
    <phoneticPr fontId="2" type="noConversion"/>
  </si>
  <si>
    <t xml:space="preserve">Offered at the Tattersalls 2011 December Sale, but did not sell (RNA at 18,000 guineas, or US$29,665). // Bought by Heather Main Racing/KC Farm for $60,000 at the 2009 Keeneland September Yearlings Sale. </t>
  </si>
  <si>
    <t>FL - Hallendale</t>
  </si>
  <si>
    <t>Stiletto Girl</t>
  </si>
  <si>
    <t xml:space="preserve">On July 25, 2011, Smarty Joanne broke down in a race and was euthanized. // Offered at the 2010 Minnesota 2YO-in-Training Sale but did not sell (RNA for $17,000). // Bought by Campbell Farm/Don Campbell for $2,500 at the 2009 Keeneland September Yearlings Sale. </t>
  </si>
  <si>
    <t>Doug Carpenter</t>
  </si>
  <si>
    <t>Exported to Europe in 2011. // Bought by Raut LLC for $15,000 at the Keeneland 2011 January Horses of All Ages Sale, as a broodmare or racing prospect. // As of July 2009, training under Rusty Arnold. // Let is a G2 winner and G1 placed from a very nice family and she is the dam of Kentucky Derby contender Ravel.</t>
  </si>
  <si>
    <t>Exported to Japan.</t>
  </si>
  <si>
    <t>gate</t>
  </si>
  <si>
    <t>Broke down in race on November 1, 2011. From trainer: "Epic was in front coming down the lane in a hand ride. Jock didn't even use his stick, then got in trouble, stayed up but his knee was done. Put him down. Broke my heart." // Debut winner on June 27, 2011. // Bought by Dee Curry for $18,000 at the 2009 Fasig-Tipton Eastern Yearlings Sale.</t>
  </si>
  <si>
    <t>According to Franfort Park Farm, the filly "died on her way to England to go into training." Exported to Ireland. // Bought by Frankfort Park Farm for $350,000 at 2007 Keeneland September Yearling Sale, consigned by Mt. Brilliant Farm. // "Excellent body, powerful rear end and shoulder, great size and has a very good walk." (farm manager Jody Alexander) // A half-sister to G3 winner Summer Raven and her dam is a half-sister to Wild Rush.</t>
  </si>
  <si>
    <t>Just Too Smart</t>
  </si>
  <si>
    <t xml:space="preserve">Diagnosed with lung infection in Septmber 2011 after finishing 7th in the Smarty Jones Stakes. // Debut winner on October 7, 2010. // Withdrawn from the 2009 Fasig-Tipton Eastern Yearlings Sale. // Withdrawn from the 2009 Keeneland September Yearlings Sale. </t>
  </si>
  <si>
    <t>gelding, ch. (NY)</t>
  </si>
  <si>
    <t>Retama Park</t>
  </si>
  <si>
    <t>Zia Park</t>
  </si>
  <si>
    <t>Bought by Lawrence O'Brien for $6,500 at the 2011 Silver Cup/Colorado Thoroughbred Breeder's Association Yearling Sale. // Bought by Ty Rushton for $2,700 at the Keeneland 2011 January Horses of All Ages Sale. // Cozzena foaled a Smarty colt in 2007 and was booked back to Smarty Jones in 2009.</t>
  </si>
  <si>
    <t>Aloft</t>
  </si>
  <si>
    <t>filly, b. (PA)</t>
  </si>
  <si>
    <t>colt, ch. (PA)</t>
  </si>
  <si>
    <t>Unnamed</t>
    <phoneticPr fontId="2" type="noConversion"/>
  </si>
  <si>
    <t>One Smart Philly</t>
  </si>
  <si>
    <t>R-Prx, Jul-11</t>
  </si>
  <si>
    <t>Chappy</t>
  </si>
  <si>
    <t>Trinidad</t>
  </si>
  <si>
    <t>Whodat Racing LLC and David and Lauren Osborne</t>
  </si>
  <si>
    <t>Smartified</t>
  </si>
  <si>
    <t>Justified</t>
  </si>
  <si>
    <t>Stone Ranches Ltd</t>
  </si>
  <si>
    <t>Ave Earnings per Race</t>
  </si>
  <si>
    <t>International Earnings</t>
  </si>
  <si>
    <t>Ireland</t>
  </si>
  <si>
    <t>Intelligent Life</t>
  </si>
  <si>
    <t>Splintered Life</t>
  </si>
  <si>
    <t>Adam And Carol Jannick</t>
  </si>
  <si>
    <t>Bought by Kama Maharaj for $4,000 at the 2009 Fasig-Tipton Kentucky Fall Yearlings Sale. // Withdrawn from the 2009 Keeneland January Horses of All Ages Sale.</t>
    <phoneticPr fontId="2" type="noConversion"/>
  </si>
  <si>
    <t>It's Smarty Time</t>
  </si>
  <si>
    <t>Offered but not sold at the 2011 OBS April Sale of 2YOs in Training (high bid was $9,500). // Bought by Ilex Bloodstock for $4,000 at the 2010 Fasig-Tipton KY Fall Yearlings Sale. // Broodmare was removed from the 2008 Keeneland November Breeding Stock Sale, mated to Smarty Jones, last service April 8, 2008 (believed to be PREGNANT).</t>
  </si>
  <si>
    <t>W-WO, Mar-11</t>
  </si>
  <si>
    <t>Canada</t>
  </si>
  <si>
    <t>Chief Seattle</t>
  </si>
  <si>
    <t>Smart D N A</t>
  </si>
  <si>
    <t>On April 26, Gilded Gem broke down and was euthanized following a morning breeze at Churchill Downs in preparation for the Humana Distaff. // Debut winner on November 5, 2009. // As of August 2008, the filly is trained by Bob Baffert. // Was withdrawn from the Barretts 2008 March Sale of Selected 2YO in Training, consigned by Eddie Woods, Agent. // Bought by Eight Pole Enterprises for $100,000 at 2007 Keeneland September Yearling Sale, consigned by Eaton Sales. // Half-sister to multiple Grade I stakes winning filly Godlen Ballet. // "A very good foal, she's a good looking filly. We're very happy with our Smarty Jones foals," said Fayette Farm manager John Hayes.</t>
  </si>
  <si>
    <t xml:space="preserve">Purchased by Kenneth Rappleyea in a private sale transacted in March/April 2011. // Bought by Dennis Behrmann for $1,500 at the 2009 Keeneland September Yearlings Sale. </t>
  </si>
  <si>
    <t>Isn't He Clever</t>
  </si>
  <si>
    <t>Clever Spirit</t>
  </si>
  <si>
    <t>Super Smarty</t>
  </si>
  <si>
    <t>Jonestown Jonesy</t>
  </si>
  <si>
    <t>Jonesy Boy</t>
  </si>
  <si>
    <t>Corrine</t>
  </si>
  <si>
    <t>Fort William</t>
    <phoneticPr fontId="2" type="noConversion"/>
  </si>
  <si>
    <t>gelding, b. (KY)</t>
    <phoneticPr fontId="2" type="noConversion"/>
  </si>
  <si>
    <t>Epic Move</t>
  </si>
  <si>
    <t>Mary P. Jones</t>
  </si>
  <si>
    <t>Surface: A=All Weather, T=Turf, off=off-Turf, blank=dirt</t>
  </si>
  <si>
    <t>Euthanized in January, 2011. // Retired to Turning For Home, a retirement/placement facility in 2010. // Owned by Richard T. Santulli, as of October 2009. // Debut winner on February 14, 2009. // Bought by Mike Ryan, Agent for $400,000 to at 2007 Keeneland September Yearling Sale, consigned by Three Chimneys Sales. // "Very big, strong colt with a lot of bone and substance, very attractive and very nice head." (Three Chimneys broodmare manager Tony Burton)</t>
  </si>
  <si>
    <t>E Flores</t>
  </si>
  <si>
    <t>Smartacus</t>
  </si>
  <si>
    <t>Smarty 'n Me</t>
  </si>
  <si>
    <t>Icon of Cool</t>
  </si>
  <si>
    <t>Devil in Disguise</t>
  </si>
  <si>
    <t>Solid Claim</t>
  </si>
  <si>
    <t>Smarts</t>
  </si>
  <si>
    <t>Runner</t>
  </si>
  <si>
    <t xml:space="preserve"> </t>
    <phoneticPr fontId="2" type="noConversion"/>
  </si>
  <si>
    <t>Smart Owner</t>
  </si>
  <si>
    <t>Daren</t>
  </si>
  <si>
    <t>Lavish Outlook</t>
  </si>
  <si>
    <t>Noble Jewelry</t>
  </si>
  <si>
    <t>Mobheja</t>
  </si>
  <si>
    <t>KSA</t>
  </si>
  <si>
    <t>Earned outside of N.A.    *</t>
  </si>
  <si>
    <t>GB</t>
  </si>
  <si>
    <t>Robert Ralphaeson</t>
  </si>
  <si>
    <t xml:space="preserve">Bought by Georgia Walsh for $6,000 at the 2010 Fasig-Tipton Midlantic December Mixed Sale. // Bought by Who dat Racing LLC for $15,000 at the 2009 Keeneland September Yearlings Sale. </t>
  </si>
  <si>
    <t xml:space="preserve">Umhlobo </t>
  </si>
  <si>
    <t>Pmm</t>
  </si>
  <si>
    <t>Bought by Granton Bloodstock for $35,000 at the 2010 Keeneland November Breeding Stock Sale. In foal to Colonel John. // Had a Master Command filly in 2010 and is in foal to Colonel John. // Foaled a filly by Half Ours January 18, 2009. // Jonespartyofwon is a half-sister to Volponi (winner of the Breeders' Cup Classic, G-1). // Prom Knight died soon after foaling. // Prom Knight (in foal to Smarty Jones) was bought for $240,000 by Seven Islands Limited Partnership at the 2006 Keeneland January Horses of All Ages Sale.</t>
    <phoneticPr fontId="2" type="noConversion"/>
  </si>
  <si>
    <t>Glafira</t>
  </si>
  <si>
    <t>Haizum</t>
  </si>
  <si>
    <t>NM - Hobbs</t>
  </si>
  <si>
    <t>CA - Los Angeles</t>
    <phoneticPr fontId="2" type="noConversion"/>
  </si>
  <si>
    <t>Criza</t>
  </si>
  <si>
    <t>mare, gr./r. (KY)</t>
  </si>
  <si>
    <t>mare, b. (PA)</t>
  </si>
  <si>
    <t>mare, ch. (FL)</t>
  </si>
  <si>
    <t>Dell Ridge Farm, LLC</t>
  </si>
  <si>
    <t>Kildare Stud</t>
  </si>
  <si>
    <t>Nursery Place &amp; Robert Manfuso</t>
  </si>
  <si>
    <t>Runnymede Farm Inc. &amp; Catesby W. Clay</t>
  </si>
  <si>
    <t>Dr &amp; Mrs T Bowman, Mr &amp; Mrs T Sutton, M P Higgins III &amp; Patricia Chapman</t>
  </si>
  <si>
    <t>Bought by Haras Gran Derby for $3,500 at the 2010 OBS Fall Mixed Sale. Offered as broodmare prospect. // Automated is G2 placed and her dam is a G3 winner and G1 and G2 placed.  Second dam is also a stakes winner.</t>
  </si>
  <si>
    <t>filly, ch. (IN)</t>
  </si>
  <si>
    <t>Voodoo Fever</t>
  </si>
  <si>
    <t>Crafty Daniela</t>
  </si>
  <si>
    <t>Buckhead Baby</t>
  </si>
  <si>
    <t>Morning Glory</t>
  </si>
  <si>
    <t>Marquetry</t>
  </si>
  <si>
    <t>Darling Katey</t>
  </si>
  <si>
    <t>Lake Shore View</t>
  </si>
  <si>
    <t>gelding, dk b./br. (KY)</t>
  </si>
  <si>
    <t>mare, ch. (KY)</t>
  </si>
  <si>
    <t>mare, b. (KY)</t>
  </si>
  <si>
    <t>mare, dk b./br. (KY)</t>
  </si>
  <si>
    <t>mare, b. (MD)</t>
  </si>
  <si>
    <t>mare, b. (FL)</t>
  </si>
  <si>
    <t>mare, ch. (JPN)</t>
  </si>
  <si>
    <t>mare, dk b./br. (FL)</t>
  </si>
  <si>
    <t>Indian Springs Farm, Inc.</t>
  </si>
  <si>
    <t>Monticule</t>
  </si>
  <si>
    <t>Last Activity</t>
  </si>
  <si>
    <t>Klipit</t>
  </si>
  <si>
    <t>Francois</t>
  </si>
  <si>
    <t>Yohonour</t>
  </si>
  <si>
    <t>gelding, b. (MD)</t>
  </si>
  <si>
    <t>Bought by Ann Wieczorek/Arch Bloodstock LLC for $42,000 at the 2010 Keeneland September Yearling Sale</t>
  </si>
  <si>
    <t xml:space="preserve">Accent Red </t>
  </si>
  <si>
    <t>Offered but did not sell (RNA $10,000) at the 2010 Keeneland September Yearling Sale. // Offered at the 2010 Keeneland January Horses of All Ages Sale, but did not sell (RNA at $14,000).</t>
  </si>
  <si>
    <t>Retired to breeding in August 2010. // Smarty Marty is in training at Dogwood Stable as of May 2008. // Offered at 2007 Keeneland September Yearling Sale, consigned by Warrendale Sales (agent for Hargus and Sandra Sexton). Reserve not attained. // This filly "has good bone, she's a good sized filly and we're very happy with her," per Tom Bozarth when she was a day old. // Frozen Rope was stakes-placed as a 2-year old and has 7 winners from 7 to race, including stakes winner Knot So Clever, who was also a debut winner at 2. // Bred by Hargus and Sandra Sexton.</t>
  </si>
  <si>
    <t>Azerbaijin</t>
  </si>
  <si>
    <t>gelding, b. (NY)</t>
  </si>
  <si>
    <t>S.M.D. Ltd</t>
  </si>
  <si>
    <t>Runnymede Farm Inc., Catesby W. Clay, Joseph C. Clay &amp; Wendy Clay</t>
    <phoneticPr fontId="2" type="noConversion"/>
  </si>
  <si>
    <t xml:space="preserve">Mr. Haywood </t>
  </si>
  <si>
    <t>T.F. VanMeter</t>
  </si>
  <si>
    <t>Double Threat</t>
    <phoneticPr fontId="2" type="noConversion"/>
  </si>
  <si>
    <t>Hastings</t>
  </si>
  <si>
    <t>Stonestreet Thoroughbred Holdings, LLC</t>
    <phoneticPr fontId="2" type="noConversion"/>
  </si>
  <si>
    <t>SJ Thoroughbreds LLC</t>
    <phoneticPr fontId="2" type="noConversion"/>
  </si>
  <si>
    <t>Live Oak Stud</t>
    <phoneticPr fontId="2" type="noConversion"/>
  </si>
  <si>
    <t>MD - Bowie</t>
  </si>
  <si>
    <t>MD - Laurel</t>
  </si>
  <si>
    <t>Suffolk Downs</t>
  </si>
  <si>
    <t>NY - Finger Lakes</t>
  </si>
  <si>
    <t>Ten Carats</t>
  </si>
  <si>
    <t>gelding, ch. (KY)</t>
    <phoneticPr fontId="2" type="noConversion"/>
  </si>
  <si>
    <t>Sharp Minister</t>
  </si>
  <si>
    <t>Joe the Dude</t>
  </si>
  <si>
    <t>Sunray Park</t>
  </si>
  <si>
    <t>Overbrook Farm</t>
  </si>
  <si>
    <t>MA - Boston</t>
  </si>
  <si>
    <t>NE - Lincoln</t>
  </si>
  <si>
    <t>Moral Code</t>
  </si>
  <si>
    <t>Street Boy</t>
  </si>
  <si>
    <t xml:space="preserve">Rachel Jones </t>
  </si>
  <si>
    <t>Canada</t>
    <phoneticPr fontId="2" type="noConversion"/>
  </si>
  <si>
    <t>Robert N. Clay &amp; Serengeti Stable</t>
    <phoneticPr fontId="2" type="noConversion"/>
  </si>
  <si>
    <t>Stonerside Stable &amp; Coneway Investment Partners, L.P.</t>
    <phoneticPr fontId="2" type="noConversion"/>
  </si>
  <si>
    <t xml:space="preserve">Sky Falcon </t>
  </si>
  <si>
    <t xml:space="preserve">Abastada </t>
  </si>
  <si>
    <t>North Wales LLC</t>
    <phoneticPr fontId="2" type="noConversion"/>
  </si>
  <si>
    <t>Legacy Ranch, Inc.</t>
    <phoneticPr fontId="2" type="noConversion"/>
  </si>
  <si>
    <t>WV - Wheeling</t>
  </si>
  <si>
    <t>RFTR, LLC d/b/a Run For The Roses Stable &amp; Patricia Chapman</t>
    <phoneticPr fontId="2" type="noConversion"/>
  </si>
  <si>
    <t>MacDonald Stables, LLC</t>
    <phoneticPr fontId="2" type="noConversion"/>
  </si>
  <si>
    <t>B P Walden, P Madden &amp; Roy V. Chapman 2004 Trust</t>
    <phoneticPr fontId="2" type="noConversion"/>
  </si>
  <si>
    <t>Stonerside Stable</t>
    <phoneticPr fontId="2" type="noConversion"/>
  </si>
  <si>
    <t>Dennis A. Drazin</t>
    <phoneticPr fontId="2" type="noConversion"/>
  </si>
  <si>
    <t>Aaron U. Jones &amp; Marie D. Jones</t>
    <phoneticPr fontId="2" type="noConversion"/>
  </si>
  <si>
    <t>Dr. &amp; Mrs. Thomas Bowman, Richard W. Small &amp; Patricia L. Chapman</t>
    <phoneticPr fontId="2" type="noConversion"/>
  </si>
  <si>
    <t>Dr. Frank Justice &amp; Meadow Oaks Farm LLC</t>
    <phoneticPr fontId="2" type="noConversion"/>
  </si>
  <si>
    <t>Foaled a Barbican (by A. P. Indy) colt in February, 2010. // Withdrawn from the Barretts 2008 May Sale of 2YO in Training. // Offered at 2007 Keeneland September Yearling Sale, consigned by Bluegrass Thoroughbred Services (agent for North Wales LLC). Reserve not attained.</t>
    <phoneticPr fontId="2" type="noConversion"/>
  </si>
  <si>
    <t>Kildare Stud</t>
    <phoneticPr fontId="2" type="noConversion"/>
  </si>
  <si>
    <t>Liberation Farm &amp; Stonewall Farm</t>
    <phoneticPr fontId="2" type="noConversion"/>
  </si>
  <si>
    <t>Flying Zee Stables</t>
    <phoneticPr fontId="2" type="noConversion"/>
  </si>
  <si>
    <t>Hargus Sexton &amp; Sandra Sexton</t>
    <phoneticPr fontId="2" type="noConversion"/>
  </si>
  <si>
    <t>Centaur Farms, Inc.</t>
    <phoneticPr fontId="2" type="noConversion"/>
  </si>
  <si>
    <t>Charles Fipke</t>
    <phoneticPr fontId="2" type="noConversion"/>
  </si>
  <si>
    <t>Mt. Brilliant Farm LLC</t>
    <phoneticPr fontId="2" type="noConversion"/>
  </si>
  <si>
    <t>Mueller Farms Inc.</t>
    <phoneticPr fontId="2" type="noConversion"/>
  </si>
  <si>
    <t>Robert N. Clay</t>
    <phoneticPr fontId="2" type="noConversion"/>
  </si>
  <si>
    <t>North Wales Farm LLC</t>
    <phoneticPr fontId="2" type="noConversion"/>
  </si>
  <si>
    <t>Bill Retzer</t>
    <phoneticPr fontId="2" type="noConversion"/>
  </si>
  <si>
    <t>G. Watts Humphrey Jr. &amp; Louise I. Humphrey</t>
    <phoneticPr fontId="2" type="noConversion"/>
  </si>
  <si>
    <t>Jeffrey Tucker</t>
    <phoneticPr fontId="2" type="noConversion"/>
  </si>
  <si>
    <t>Dr. K.K. Jayaraman, Dr. V.D. Jayaraman &amp; Roy V. Chapman Rev. Trust</t>
    <phoneticPr fontId="2" type="noConversion"/>
  </si>
  <si>
    <t>Edward A. Seltzer Irrevocable Trust &amp; Lawrence Schine</t>
    <phoneticPr fontId="2" type="noConversion"/>
  </si>
  <si>
    <t>Mueller Farms, Inc.</t>
    <phoneticPr fontId="2" type="noConversion"/>
  </si>
  <si>
    <t xml:space="preserve">Flash Mash </t>
  </si>
  <si>
    <t xml:space="preserve">Gaither Draw </t>
  </si>
  <si>
    <t>Alexander Groves Matz, LLC</t>
    <phoneticPr fontId="2" type="noConversion"/>
  </si>
  <si>
    <t>Mr. &amp; Mrs. Leverett Miller &amp; Patricia L. Chapman</t>
    <phoneticPr fontId="2" type="noConversion"/>
  </si>
  <si>
    <t>Darley</t>
    <phoneticPr fontId="2" type="noConversion"/>
  </si>
  <si>
    <t>Sea Song Farms, LLC</t>
    <phoneticPr fontId="2" type="noConversion"/>
  </si>
  <si>
    <t>RCH Stables</t>
    <phoneticPr fontId="2" type="noConversion"/>
  </si>
  <si>
    <t>Hargus Sexton &amp; Sandra Sexton</t>
    <phoneticPr fontId="2" type="noConversion"/>
  </si>
  <si>
    <t>Snark Circle</t>
  </si>
  <si>
    <t>Cl5000 3YO&amp;up</t>
  </si>
  <si>
    <t>Robert B. Trussell Jr.</t>
    <phoneticPr fontId="2" type="noConversion"/>
  </si>
  <si>
    <t>Bowman &amp; Higgins Stable</t>
    <phoneticPr fontId="2" type="noConversion"/>
  </si>
  <si>
    <t>Bornsmart Gotlucky</t>
    <phoneticPr fontId="2" type="noConversion"/>
  </si>
  <si>
    <t xml:space="preserve">Mary Lester, Howard Lester, Dr. William M. Hovis, et al </t>
    <phoneticPr fontId="2" type="noConversion"/>
  </si>
  <si>
    <t>Mike Abraham</t>
    <phoneticPr fontId="2" type="noConversion"/>
  </si>
  <si>
    <t>Smarty Corn</t>
  </si>
  <si>
    <t>Noble Jewelry</t>
    <phoneticPr fontId="2" type="noConversion"/>
  </si>
  <si>
    <t>Shadai Farm</t>
    <phoneticPr fontId="2" type="noConversion"/>
  </si>
  <si>
    <t>Betty L. Mabee &amp; Larry Mabee</t>
    <phoneticPr fontId="2" type="noConversion"/>
  </si>
  <si>
    <t>Courtlandt Farm</t>
    <phoneticPr fontId="2" type="noConversion"/>
  </si>
  <si>
    <t>Roy V. Chapman Rev. Trust</t>
    <phoneticPr fontId="2" type="noConversion"/>
  </si>
  <si>
    <t>Mercedes Stables LLC</t>
    <phoneticPr fontId="2" type="noConversion"/>
  </si>
  <si>
    <t>Wertheimer &amp; Frere</t>
    <phoneticPr fontId="2" type="noConversion"/>
  </si>
  <si>
    <t>Gaines-Gentry Thoroughbreds &amp; S&amp;H Thoroughbreds, LLC</t>
    <phoneticPr fontId="2" type="noConversion"/>
  </si>
  <si>
    <t>John C. Oxley</t>
    <phoneticPr fontId="2" type="noConversion"/>
  </si>
  <si>
    <t>Dixiana Stables Inc</t>
    <phoneticPr fontId="2" type="noConversion"/>
  </si>
  <si>
    <t>Haras La Providencia &amp; M2 Stables</t>
    <phoneticPr fontId="2" type="noConversion"/>
  </si>
  <si>
    <t>Camille Garey &amp; Jack Garey</t>
    <phoneticPr fontId="2" type="noConversion"/>
  </si>
  <si>
    <t>Kidder, Griggs &amp; Mamakos</t>
    <phoneticPr fontId="2" type="noConversion"/>
  </si>
  <si>
    <t>Gaines-Gentry Thoroughbreds &amp; S&amp;H Thoroughbreds, LLC</t>
    <phoneticPr fontId="2" type="noConversion"/>
  </si>
  <si>
    <t>Candyland Farm</t>
    <phoneticPr fontId="2" type="noConversion"/>
  </si>
  <si>
    <t>Sun Valley Farm &amp; Patricia L. Chapman</t>
    <phoneticPr fontId="2" type="noConversion"/>
  </si>
  <si>
    <t>Overbrook Farm</t>
    <phoneticPr fontId="2" type="noConversion"/>
  </si>
  <si>
    <t xml:space="preserve">Smarter Than Ever </t>
  </si>
  <si>
    <t>Dennis Drazin</t>
    <phoneticPr fontId="2" type="noConversion"/>
  </si>
  <si>
    <t>Donald &amp; R. Mary Zuckerman, as Tenants by the Entireties &amp; Patricia L. Chapman</t>
    <phoneticPr fontId="2" type="noConversion"/>
  </si>
  <si>
    <t>Last Activity</t>
    <phoneticPr fontId="2" type="noConversion"/>
  </si>
  <si>
    <t>Justice Farm, Greg Justice &amp; Steve Justice</t>
    <phoneticPr fontId="2" type="noConversion"/>
  </si>
  <si>
    <t>Coffee Pot Stable &amp; Roy V. Chapman Rev. Trust</t>
    <phoneticPr fontId="2" type="noConversion"/>
  </si>
  <si>
    <t>Knob Hill Stable</t>
    <phoneticPr fontId="2" type="noConversion"/>
  </si>
  <si>
    <t>Glen Hill Farm</t>
    <phoneticPr fontId="2" type="noConversion"/>
  </si>
  <si>
    <t>Runnymede Farm Inc. &amp; Catesby W. Clay</t>
    <phoneticPr fontId="2" type="noConversion"/>
  </si>
  <si>
    <t>Dr. &amp; Mrs. Thomas Bowman, Richard W. Small &amp; Robert N. Clay</t>
    <phoneticPr fontId="2" type="noConversion"/>
  </si>
  <si>
    <t>Tracy Farmer</t>
    <phoneticPr fontId="2" type="noConversion"/>
  </si>
  <si>
    <t>Timothy C. Thornton &amp; Tom Van Meter</t>
  </si>
  <si>
    <t>Stonestreet Thoroughbred Holdings LLC</t>
  </si>
  <si>
    <t>Occidental Thoroughbreds &amp; Sarum Farm</t>
    <phoneticPr fontId="2" type="noConversion"/>
  </si>
  <si>
    <t>Donald &amp; R. Mary Zuckerman, as Tenants by the Entireties</t>
    <phoneticPr fontId="2" type="noConversion"/>
  </si>
  <si>
    <t>Northwest Farms LLC</t>
    <phoneticPr fontId="2" type="noConversion"/>
  </si>
  <si>
    <t>Steeplechase Farm</t>
    <phoneticPr fontId="2" type="noConversion"/>
  </si>
  <si>
    <t>Emory A. Hamilton</t>
    <phoneticPr fontId="2" type="noConversion"/>
  </si>
  <si>
    <t>Stonestreet Thoroughbred Holdings LLC</t>
    <phoneticPr fontId="2" type="noConversion"/>
  </si>
  <si>
    <t>Summer Wind Farm</t>
    <phoneticPr fontId="2" type="noConversion"/>
  </si>
  <si>
    <t>W. S. Farish &amp; Kilroy Thoroughbred Partnership</t>
    <phoneticPr fontId="2" type="noConversion"/>
  </si>
  <si>
    <t>Swettenham Stud</t>
    <phoneticPr fontId="2" type="noConversion"/>
  </si>
  <si>
    <t>Manganaro LLC</t>
    <phoneticPr fontId="2" type="noConversion"/>
  </si>
  <si>
    <t>Michael Lynch</t>
    <phoneticPr fontId="2" type="noConversion"/>
  </si>
  <si>
    <t>Chester Broman &amp; Mary R. Broman</t>
  </si>
  <si>
    <t>Juddmonte Farms Inc</t>
    <phoneticPr fontId="2" type="noConversion"/>
  </si>
  <si>
    <t>Arthur I. Appleton</t>
    <phoneticPr fontId="2" type="noConversion"/>
  </si>
  <si>
    <t>Courtlandt Farm</t>
  </si>
  <si>
    <t>W. S. Farish &amp; George Bolton</t>
    <phoneticPr fontId="2" type="noConversion"/>
  </si>
  <si>
    <t>Overbrook Farm</t>
    <phoneticPr fontId="2" type="noConversion"/>
  </si>
  <si>
    <t>OBS, Mar-10</t>
  </si>
  <si>
    <t>Smart Event</t>
  </si>
  <si>
    <t>Blackwater Farm Ltd., Bradley Thoroughbred Brokerage &amp; Castlecove Ltd.</t>
    <phoneticPr fontId="2" type="noConversion"/>
  </si>
  <si>
    <t>James E. Culver</t>
    <phoneticPr fontId="2" type="noConversion"/>
  </si>
  <si>
    <t>Mr Robin Bruss</t>
  </si>
  <si>
    <t>Prairie Meadows</t>
  </si>
  <si>
    <t>Delta Downs</t>
  </si>
  <si>
    <t>Mueller Farms Inc.</t>
  </si>
  <si>
    <t>Robert N. Clay</t>
    <phoneticPr fontId="2" type="noConversion"/>
  </si>
  <si>
    <t>B. P. Walden</t>
    <phoneticPr fontId="2" type="noConversion"/>
  </si>
  <si>
    <t>F. Eugene Dixon</t>
    <phoneticPr fontId="2" type="noConversion"/>
  </si>
  <si>
    <t>Silverleaf Farms, Inc</t>
    <phoneticPr fontId="2" type="noConversion"/>
  </si>
  <si>
    <t>Mt. Brilliant Farm LLC</t>
    <phoneticPr fontId="2" type="noConversion"/>
  </si>
  <si>
    <t>Carl Rosen Associates</t>
    <phoneticPr fontId="2" type="noConversion"/>
  </si>
  <si>
    <t>Reiko Baum &amp; Michael Baum</t>
    <phoneticPr fontId="2" type="noConversion"/>
  </si>
  <si>
    <t>Louise &amp; G. Watts Humphrey, Jr.</t>
    <phoneticPr fontId="2" type="noConversion"/>
  </si>
  <si>
    <t>Chiyoda Farm Shizunai</t>
  </si>
  <si>
    <t>Chester Broman &amp; Mary R. Broman</t>
    <phoneticPr fontId="2" type="noConversion"/>
  </si>
  <si>
    <t>Fontainebleau Farm</t>
    <phoneticPr fontId="2" type="noConversion"/>
  </si>
  <si>
    <t>Colts and Fillies Investments, LLC</t>
    <phoneticPr fontId="2" type="noConversion"/>
  </si>
  <si>
    <t>Parrish Hill Farm &amp; Roy V. Chapman Rev.Trust</t>
    <phoneticPr fontId="2" type="noConversion"/>
  </si>
  <si>
    <t>Kaaren Biggs</t>
  </si>
  <si>
    <t>Christiana Stables, LLC</t>
    <phoneticPr fontId="2" type="noConversion"/>
  </si>
  <si>
    <t>Kia Ora Stud</t>
  </si>
  <si>
    <t>Bianca Francis Equine</t>
    <phoneticPr fontId="2" type="noConversion"/>
  </si>
  <si>
    <t>Richard Wira, Yvette Wira &amp; Roy V. Chapman 2004 Trust</t>
  </si>
  <si>
    <t>FF-HH Partnership</t>
    <phoneticPr fontId="2" type="noConversion"/>
  </si>
  <si>
    <t>Darley</t>
    <phoneticPr fontId="2" type="noConversion"/>
  </si>
  <si>
    <t>Stud TNT</t>
    <phoneticPr fontId="2" type="noConversion"/>
  </si>
  <si>
    <t>Grapestock LLC</t>
    <phoneticPr fontId="2" type="noConversion"/>
  </si>
  <si>
    <t>Alexander, Groves &amp; Matz, LLC</t>
    <phoneticPr fontId="2" type="noConversion"/>
  </si>
  <si>
    <t>Gulf Coast Farms LLC</t>
    <phoneticPr fontId="2" type="noConversion"/>
  </si>
  <si>
    <t>Northern Farm</t>
    <phoneticPr fontId="2" type="noConversion"/>
  </si>
  <si>
    <t>Nursery Place</t>
  </si>
  <si>
    <t>Run For The Roses Stable</t>
  </si>
  <si>
    <t>1st</t>
  </si>
  <si>
    <t>2nd</t>
  </si>
  <si>
    <t>3rd</t>
  </si>
  <si>
    <t>4th</t>
  </si>
  <si>
    <t>Donald &amp; R. Mary Zuckerman, as Tenantsby the Entireties</t>
  </si>
  <si>
    <t>S J Thoroughbreds LLC</t>
  </si>
  <si>
    <t>Shadai Farm</t>
    <phoneticPr fontId="2" type="noConversion"/>
  </si>
  <si>
    <t>Lantern Hill</t>
  </si>
  <si>
    <t>Flaxman Holdings Ltd.</t>
    <phoneticPr fontId="2" type="noConversion"/>
  </si>
  <si>
    <t>Jim Wells &amp; Cheyenne Stables</t>
    <phoneticPr fontId="2" type="noConversion"/>
  </si>
  <si>
    <t>Lynn B. Schiff</t>
  </si>
  <si>
    <t>Northwest Farms LLC</t>
    <phoneticPr fontId="2" type="noConversion"/>
  </si>
  <si>
    <t>Larry Baker</t>
  </si>
  <si>
    <t>WA - Seattle</t>
  </si>
  <si>
    <t>Glen Hill Farm</t>
    <phoneticPr fontId="2" type="noConversion"/>
  </si>
  <si>
    <t>B. P. Walden &amp; B. M. Kelley</t>
    <phoneticPr fontId="2" type="noConversion"/>
  </si>
  <si>
    <t>Avalon Farm &amp; Deerbrook Racing</t>
    <phoneticPr fontId="2" type="noConversion"/>
  </si>
  <si>
    <t>Resumed working in February 2010 at Turfway Park. // Reported to have been retired with a stress fracture in November, 2009. // Offered at 2007 Keeneland September Yearling Sale, consigned by Three Chimneys Sales. Reserve not attained.</t>
  </si>
  <si>
    <t>MEX - Mexico City</t>
    <phoneticPr fontId="2" type="noConversion"/>
  </si>
  <si>
    <t>Rikki Dee</t>
  </si>
  <si>
    <t>Gracie Jones</t>
    <phoneticPr fontId="2" type="noConversion"/>
  </si>
  <si>
    <t>FRA - Lyon</t>
  </si>
  <si>
    <t>JPN - Tokyo</t>
  </si>
  <si>
    <t>Justice Farm, Inc., Greg Justice &amp; Steve Justice</t>
  </si>
  <si>
    <t>Breeder</t>
  </si>
  <si>
    <t>Betty Biszantz</t>
  </si>
  <si>
    <t>Wertheimer et Frere</t>
  </si>
  <si>
    <t>Forging Oaks LLC</t>
  </si>
  <si>
    <t>KY - Florence</t>
  </si>
  <si>
    <t>Royal's Lass</t>
  </si>
  <si>
    <t>Slumber Smarty</t>
  </si>
  <si>
    <t>Red Baroness</t>
  </si>
  <si>
    <t xml:space="preserve">Linda Walton, Farm Manager of Kia Ora reports: "Bred by Kia Ora Stud and owned by Wynyarra Stud.  He is currently in pretraining and will race under the Wynyarra Stud racing colours when it comes time to."  // Smarty's first Australian bred. Venus' dam, Stormette, is a stakes placed half-sister to champions (and top sire) Storm Bird and Northernette.  Venus is a half-sister to G1 winner Storm Trooper, G3 winner Marillette, and to the granddam of Stupendous Miss. // Kia Ora is one of the leading vendors of yearlings in Australia. The idea is to attract an international buyer. According to Kia Ora’s Neale Bruce: “With the Smarty Jones colt, we will just see how he progresses, monitor the performance of the Smarty Jones progeny in America and hope that Elusive Quality continues to kick goals out here.” Bruce said that if the colt was to lose commercial appeal, he would most likely be retained to race in Australia. </t>
  </si>
  <si>
    <t>Rogue Romance</t>
  </si>
  <si>
    <t>Smart American</t>
  </si>
  <si>
    <t>Concealed Identity</t>
  </si>
  <si>
    <t>Introvert</t>
  </si>
  <si>
    <t>Tiro E Queda</t>
  </si>
  <si>
    <t>Angry Dragon</t>
  </si>
  <si>
    <t>Robert N. Clay</t>
  </si>
  <si>
    <t>CA - Los Angeles</t>
  </si>
  <si>
    <t>Smart Senza</t>
  </si>
  <si>
    <t>Lady Thief</t>
  </si>
  <si>
    <t>Sachem</t>
  </si>
  <si>
    <t>Peru</t>
  </si>
  <si>
    <t>Wicky Jones</t>
  </si>
  <si>
    <t>So So Smart</t>
  </si>
  <si>
    <t>Seeing Things</t>
  </si>
  <si>
    <t>Smarter Than Jones</t>
  </si>
  <si>
    <t>Savarana</t>
  </si>
  <si>
    <t>Hemissesu</t>
  </si>
  <si>
    <t>Clover Leaf Farms II, Inc.</t>
  </si>
  <si>
    <t>Dapple Bloodstock</t>
  </si>
  <si>
    <t>Robert N. Clay &amp; Fair Way Equine, LLC</t>
  </si>
  <si>
    <t>Gulf Coast Farms, LLC</t>
  </si>
  <si>
    <t>Elizabeth Jones Valando &amp; Robert N. Clay</t>
  </si>
  <si>
    <t>John O'Meara &amp; Roy V. Chapman 2004 Trust</t>
  </si>
  <si>
    <t>KY - Lexington</t>
  </si>
  <si>
    <t>NY - New York</t>
  </si>
  <si>
    <t>Smart Ellis</t>
  </si>
  <si>
    <t>Proud Truth</t>
  </si>
  <si>
    <t>gelding, b. (KY)</t>
    <phoneticPr fontId="2" type="noConversion"/>
  </si>
  <si>
    <t>gelding, ch. (FL)</t>
  </si>
  <si>
    <t>Turf Paradise</t>
  </si>
  <si>
    <t>Clearly a Smarty</t>
  </si>
  <si>
    <t>Genius Level</t>
  </si>
  <si>
    <t>Slew o' Gold</t>
    <phoneticPr fontId="2" type="noConversion"/>
  </si>
  <si>
    <t>Career Student</t>
  </si>
  <si>
    <t>Alexana</t>
  </si>
  <si>
    <t>Smarty Sister</t>
  </si>
  <si>
    <t>unknown</t>
  </si>
  <si>
    <t>Mad For Smarty</t>
  </si>
  <si>
    <t>Bought by Ham Stables, Ltd, for $3,200 at the 2009 OBS Fall Mixed Sale, as a broodmare prospect.  //  Bred and owned by Glen Hill Farm.</t>
  </si>
  <si>
    <t>Slewie Jones</t>
  </si>
  <si>
    <t>Smart Dreamer</t>
  </si>
  <si>
    <t xml:space="preserve">   Note: Race record and earnings total are not official</t>
  </si>
  <si>
    <t>Smarty Sam</t>
  </si>
  <si>
    <t>Stellar Lady</t>
  </si>
  <si>
    <t>Scarlet Slipper</t>
  </si>
  <si>
    <t>Red Ransom</t>
  </si>
  <si>
    <t>unk</t>
  </si>
  <si>
    <t>Farmer Jones</t>
  </si>
  <si>
    <t>Aquifolia</t>
  </si>
  <si>
    <t>No Equipment</t>
  </si>
  <si>
    <t>Incredible Story</t>
  </si>
  <si>
    <t>I'm Yours Joe</t>
  </si>
  <si>
    <t>Free Ransom</t>
  </si>
  <si>
    <t>Our Native</t>
  </si>
  <si>
    <t>Kalahari Cat</t>
  </si>
  <si>
    <t>Shrewd One</t>
  </si>
  <si>
    <t>Nominated.</t>
  </si>
  <si>
    <t>Elusive Mr. Jones</t>
  </si>
  <si>
    <t>Satono Thunder</t>
  </si>
  <si>
    <t>Distinct Manner</t>
  </si>
  <si>
    <t>Distinctive Pro</t>
  </si>
  <si>
    <t>Chersky</t>
  </si>
  <si>
    <t>Career Fair</t>
  </si>
  <si>
    <t>filly, ch. (NY)</t>
  </si>
  <si>
    <t>filly, dkb./b. (PA)</t>
  </si>
  <si>
    <t>Camas Creek</t>
  </si>
  <si>
    <t>Fusaichi Pegasus</t>
  </si>
  <si>
    <t>Tomorrows Empress</t>
  </si>
  <si>
    <t>Tomorrows Cat</t>
  </si>
  <si>
    <t>List Price</t>
  </si>
  <si>
    <t>La Laja</t>
  </si>
  <si>
    <t>unraced</t>
  </si>
  <si>
    <t>Sts</t>
  </si>
  <si>
    <t>W</t>
  </si>
  <si>
    <t>P</t>
  </si>
  <si>
    <t>S</t>
  </si>
  <si>
    <t>Energizing</t>
  </si>
  <si>
    <t>Slide Show</t>
  </si>
  <si>
    <t>Slewacide</t>
  </si>
  <si>
    <t>Secret Ballad</t>
  </si>
  <si>
    <t>Mt. Bonsi</t>
  </si>
  <si>
    <t>Mohonour</t>
  </si>
  <si>
    <t>Madeira M'dear</t>
  </si>
  <si>
    <t>Beauty Star</t>
  </si>
  <si>
    <t>In February 2009, debuted as a gelding under the silks of Thor-Bred Stable LLC (owned and managed by Erik and Pavla Nygaard). // Offered at the Fasig-Tipton 2008 Midlantic 2YO in Training Sale, consigned by Solitary Oak, Inc. Agent. Reserve not met. // Removed from Fasig-Tipton's 2008 Calder Select 2YO in Training Sale, consigned by Nick de Meric, Agent. // Bought by Valhalla Estates, LLC for $100,000 at 2007 Keeneland September Yearling Sale, consigned by Three Chimneys Sales. // Radiant Glow (in foal to Smarty Jones) was bought for $350,000 by Irwin Cowan at the 2005 Keeneland November Breeding Stock Sale. // "A very pretty foal, very correct, a nice foal." (Three Chimneys Broodmare manager Tony Burton) // Bred by Robert N. Clay &amp; Fair Way Equine, LLC.</t>
  </si>
  <si>
    <t>Foal is full-sister to Smart Dreams (2007 colt).</t>
  </si>
  <si>
    <t>Sunrise Smarty</t>
  </si>
  <si>
    <t>Moneymakinmamma</t>
  </si>
  <si>
    <t>In Excess</t>
  </si>
  <si>
    <t>Smarty Springs</t>
  </si>
  <si>
    <t>South Stream</t>
  </si>
  <si>
    <t>Biscuit Boy</t>
  </si>
  <si>
    <t>Trans Siberian</t>
  </si>
  <si>
    <t>Grat</t>
  </si>
  <si>
    <t>Summer Wind Farm</t>
  </si>
  <si>
    <t>Diamond Ice Girl</t>
  </si>
  <si>
    <t>Sky Mesa</t>
  </si>
  <si>
    <t>Foreign-based foals</t>
  </si>
  <si>
    <t>Lucrative</t>
  </si>
  <si>
    <t>Kevin Kraynak, racingheart@mac.com</t>
  </si>
  <si>
    <t>Saratoga Lady</t>
  </si>
  <si>
    <t>Dramatical</t>
  </si>
  <si>
    <t>Art Show</t>
  </si>
  <si>
    <t>Out of Place</t>
  </si>
  <si>
    <t>Dennis Drazin</t>
  </si>
  <si>
    <t>Jones Brother</t>
  </si>
  <si>
    <t>Red Soul</t>
  </si>
  <si>
    <t>Meadowlake</t>
  </si>
  <si>
    <t>Notagoldbrick</t>
  </si>
  <si>
    <t>Bought by  E. Please, Agent, for $75,000 at the 2009 OBS Select Two-Year-Olds in Training Sale. // Bought by Eisaman Equine for $50,000 at the 2008 Keeneland September Yearling Sale, consigned by Warrendale Sales, Agent for Stonestreet Thoroughbred Holdings LLC. In 2004, Eisaman Equine bought Steppenwolfer at this sale for $25K and turned around and sold him for $375K at the Ocala Breeders' Sales. // Running Debate is a stakes winner whose dam is also a stakes winner and mutliple stakes producer (9 runners and 9 winners) and her second dam is a stakes winner and multiple stakes producer, as well.</t>
  </si>
  <si>
    <t>Sweet Sophia</t>
  </si>
  <si>
    <t>--</t>
  </si>
  <si>
    <t>Emory A. Hamilton</t>
  </si>
  <si>
    <t>Belmont Park</t>
  </si>
  <si>
    <t>filly, ch. (KY)</t>
  </si>
  <si>
    <t>Devil's Bag</t>
  </si>
  <si>
    <t>denotes a winning foal</t>
  </si>
  <si>
    <t>Galeta (ARG)</t>
  </si>
  <si>
    <t>Sommelier Smarty</t>
  </si>
  <si>
    <t>Oaklawn Park</t>
  </si>
  <si>
    <t>Speedwell</t>
  </si>
  <si>
    <t>colt, dkb./b. (KY)</t>
  </si>
  <si>
    <t>Offered at the 2009 Keeneland January Horses of All Ages sale. Catalog notes that the mare is believed to be NOT pregnant.</t>
  </si>
  <si>
    <t>Time for a Change</t>
  </si>
  <si>
    <t>Ashraaf</t>
  </si>
  <si>
    <t>Star De Naskra</t>
  </si>
  <si>
    <t>Fitzcarraldo (ARG)</t>
  </si>
  <si>
    <t>colt, b. (KY)</t>
  </si>
  <si>
    <t>Dehere</t>
  </si>
  <si>
    <t>Must Be A Lady</t>
  </si>
  <si>
    <t>Big and Beautiful</t>
  </si>
  <si>
    <t>Double Scoop</t>
  </si>
  <si>
    <t>Wiscasset</t>
  </si>
  <si>
    <t>Kris S.</t>
  </si>
  <si>
    <t>Darn That Alarm</t>
  </si>
  <si>
    <t>Mescalina</t>
  </si>
  <si>
    <t>Lovely Regina</t>
  </si>
  <si>
    <t>Hawayil</t>
  </si>
  <si>
    <t>Halling</t>
  </si>
  <si>
    <t>Seattle Slew</t>
  </si>
  <si>
    <t>Ide</t>
  </si>
  <si>
    <t>Yaropolk</t>
  </si>
  <si>
    <t>Honour and Glory</t>
  </si>
  <si>
    <t>Confidently</t>
  </si>
  <si>
    <t>Dragonada</t>
  </si>
  <si>
    <t>It Must Be Fates</t>
  </si>
  <si>
    <t>filly, b. (FL)</t>
  </si>
  <si>
    <t>Smart N Lonely</t>
  </si>
  <si>
    <t>Angliana Dancer</t>
  </si>
  <si>
    <t>TuP</t>
  </si>
  <si>
    <t>Smartful</t>
  </si>
  <si>
    <t>Rebridled Dreams</t>
  </si>
  <si>
    <t>Bay Harbor</t>
  </si>
  <si>
    <t>Out of full sister to Geri (w. Oaklawn H.-G1)</t>
  </si>
  <si>
    <t>Wheatly Way</t>
  </si>
  <si>
    <t>Wheatly Hall</t>
  </si>
  <si>
    <t>Fircroft</t>
  </si>
  <si>
    <t>Pleasant Colony</t>
  </si>
  <si>
    <t>Tangled Up in Blue</t>
  </si>
  <si>
    <t>Backcountry Boy</t>
  </si>
  <si>
    <t>Aheadofthejoneses</t>
  </si>
  <si>
    <t>colt, ch. (KY)</t>
  </si>
  <si>
    <t>Terre Haute</t>
  </si>
  <si>
    <t>Take the Cake</t>
  </si>
  <si>
    <t>Incinderator</t>
  </si>
  <si>
    <t>So Ritzy</t>
  </si>
  <si>
    <t>Gilded Time</t>
  </si>
  <si>
    <t>Dist</t>
  </si>
  <si>
    <t>Purse</t>
  </si>
  <si>
    <t>Finish</t>
  </si>
  <si>
    <t>Performing Arts (in foal to Smarty Jones) was bought by Richard Frisby Bloodstock Ltd. For $130,000 at the 2007 Keeneland November Breeding Stock Sale. // Mare serviced on May 27, 2007.</t>
  </si>
  <si>
    <t>colt (JPN)</t>
  </si>
  <si>
    <t>colt (KY)</t>
  </si>
  <si>
    <t>filly, b. (KY)</t>
  </si>
  <si>
    <t>Betty's Baroness</t>
  </si>
  <si>
    <t>Mt. Livermore</t>
  </si>
  <si>
    <t>Sky Legend</t>
  </si>
  <si>
    <t>Thundercup</t>
  </si>
  <si>
    <t>Day Bird</t>
  </si>
  <si>
    <t>Smarty's Dream</t>
  </si>
  <si>
    <t>Seattle Jones</t>
  </si>
  <si>
    <t>A Plus</t>
  </si>
  <si>
    <t>Barren in 2006. Bred to Smarty again in 2006 and foaled a colt on March 7, 2007.</t>
  </si>
  <si>
    <t>Earnings</t>
  </si>
  <si>
    <t>Spend A Buck</t>
  </si>
  <si>
    <t>Smart Woman</t>
  </si>
  <si>
    <t>Smartica</t>
  </si>
  <si>
    <t>Lake Champlain</t>
  </si>
  <si>
    <t>Cannons Crown</t>
  </si>
  <si>
    <t>Best of Luck</t>
  </si>
  <si>
    <t>Smokey Glacken</t>
  </si>
  <si>
    <t>Nureyev</t>
  </si>
  <si>
    <t>Langara</t>
  </si>
  <si>
    <t>Line of Thunder</t>
  </si>
  <si>
    <t>colt, dk b./br. (KY)</t>
  </si>
  <si>
    <t>Time For A Change</t>
  </si>
  <si>
    <t>Dr. Smarty Jack</t>
  </si>
  <si>
    <t>Kiddari</t>
  </si>
  <si>
    <t>Me You And Her</t>
  </si>
  <si>
    <t>Dance The Slew</t>
  </si>
  <si>
    <t>denotes a winning race</t>
  </si>
  <si>
    <t>Nafath</t>
  </si>
  <si>
    <t>Graustark</t>
  </si>
  <si>
    <t>Carly's Crown</t>
  </si>
  <si>
    <t>Judge TC</t>
  </si>
  <si>
    <t>Aqueduct</t>
  </si>
  <si>
    <t>Happy Madison</t>
  </si>
  <si>
    <t>Smarty Time</t>
  </si>
  <si>
    <t>You Smarty Pants</t>
  </si>
  <si>
    <t>Literary Light</t>
  </si>
  <si>
    <t>Secreto</t>
  </si>
  <si>
    <t>Secret Advice</t>
  </si>
  <si>
    <t>Lyphard</t>
  </si>
  <si>
    <t>Tisket A Tasket</t>
  </si>
  <si>
    <t>Salt Lake</t>
  </si>
  <si>
    <t>Top Rung</t>
  </si>
  <si>
    <t>Smartysideup</t>
  </si>
  <si>
    <t>Big Tease</t>
  </si>
  <si>
    <t>Richetta</t>
  </si>
  <si>
    <t>Goldshaft</t>
  </si>
  <si>
    <t>Gulfstream Park</t>
  </si>
  <si>
    <t>Tomorrow's Destiny</t>
  </si>
  <si>
    <t>Gold Fever</t>
  </si>
  <si>
    <t>Merrill Gold</t>
  </si>
  <si>
    <t>Graceful Manor</t>
  </si>
  <si>
    <t>Smart Justice</t>
  </si>
  <si>
    <t>Smarty Marty</t>
  </si>
  <si>
    <t>Saayebah</t>
  </si>
  <si>
    <t>Foal</t>
  </si>
  <si>
    <t>Date</t>
  </si>
  <si>
    <t>Track</t>
  </si>
  <si>
    <t>Race</t>
  </si>
  <si>
    <t>Little Venice</t>
  </si>
  <si>
    <t>Bright Feather</t>
  </si>
  <si>
    <t>Are You Home</t>
  </si>
  <si>
    <t>Silver Ghost</t>
  </si>
  <si>
    <t>Exogenetic</t>
  </si>
  <si>
    <t>Lan Kwai Fong (AUS)</t>
  </si>
  <si>
    <t>Bluebird</t>
  </si>
  <si>
    <t>Alchemilla</t>
  </si>
  <si>
    <t>Nijinsky II</t>
  </si>
  <si>
    <t>Boozin' Susan</t>
  </si>
  <si>
    <t>AP Indy</t>
  </si>
  <si>
    <t>Frozen Rope</t>
  </si>
  <si>
    <t>Clever Trick</t>
  </si>
  <si>
    <t>Smarty's Halo</t>
  </si>
  <si>
    <t>Strategy Meeting</t>
  </si>
  <si>
    <t>Shashobegon</t>
  </si>
  <si>
    <t>Cryptoqueen</t>
  </si>
  <si>
    <t>Silent Eskimo</t>
  </si>
  <si>
    <t>Earnings Per Start</t>
  </si>
  <si>
    <t>Dream A Bit</t>
  </si>
  <si>
    <t>Cyclorama</t>
  </si>
  <si>
    <t>Ms. Aerosmith</t>
  </si>
  <si>
    <t>Skywalker</t>
  </si>
  <si>
    <t>Churchill Downs</t>
  </si>
  <si>
    <t>Cahill Road</t>
  </si>
  <si>
    <t>Anchors Away</t>
  </si>
  <si>
    <t>Santaria</t>
  </si>
  <si>
    <t>Let</t>
  </si>
  <si>
    <t>Dream a Bit</t>
  </si>
  <si>
    <t>Hay Let's Dance</t>
  </si>
  <si>
    <t>Major Impact</t>
  </si>
  <si>
    <t>Cape Town</t>
  </si>
  <si>
    <t>Cryptoclearance</t>
  </si>
  <si>
    <t>In 2005, Smarty Jones was bred to 113 mares and produced 88 foals.</t>
  </si>
  <si>
    <t>Cativa</t>
  </si>
  <si>
    <t>Dance On The Green</t>
  </si>
  <si>
    <t>Prairie Township</t>
  </si>
  <si>
    <t>Ritzy Jones</t>
  </si>
  <si>
    <t>State Opera</t>
  </si>
  <si>
    <t>Shemita (IRE)</t>
  </si>
  <si>
    <t>Bought by Dr. Derek Paul for $20,000 at the 2008 Keeneland September Yearling Sale, consigned by Three Chimneys Sales, Agent Farm.</t>
  </si>
  <si>
    <t>Devotion Unbridled</t>
  </si>
  <si>
    <t>Gera</t>
  </si>
  <si>
    <t>Fair Grounds</t>
  </si>
  <si>
    <t>Mandy's Gold</t>
  </si>
  <si>
    <t>Miracle Baby</t>
  </si>
  <si>
    <t>Noble Stella (GER)</t>
  </si>
  <si>
    <t>Forest Heiress</t>
  </si>
  <si>
    <t>Eishin Bridle</t>
  </si>
  <si>
    <t>Unbridled</t>
  </si>
  <si>
    <t>Til Forbid</t>
  </si>
  <si>
    <t>Temperence Hill</t>
  </si>
  <si>
    <t>Blues in Seattle</t>
  </si>
  <si>
    <t>Cahill Kate</t>
  </si>
  <si>
    <t>Our Gal</t>
  </si>
  <si>
    <t>Broodmare Ladies Night Out did not sell (R.N.A.) at the 2008 Keeneland November Breeding Stock Sale, mated to Smarty Jones, last service May 19, 2008 (believed to be NOT PREGNANT).</t>
  </si>
  <si>
    <t>Capote</t>
  </si>
  <si>
    <t>Storming Beauty</t>
  </si>
  <si>
    <t>Storm Cat</t>
  </si>
  <si>
    <t>Smart Machine</t>
  </si>
  <si>
    <t>Matings With No Foal On Record</t>
  </si>
  <si>
    <t>Rescue Plan</t>
  </si>
  <si>
    <t>Capote Jones</t>
  </si>
  <si>
    <t>Field Size</t>
  </si>
  <si>
    <t>Lilac Queen (GER)</t>
  </si>
  <si>
    <t>Running Debate</t>
  </si>
  <si>
    <t>Getaway Girl</t>
  </si>
  <si>
    <t>In 2006, Smarty Jones was bred to 112 mares and produced 78 foals.</t>
  </si>
  <si>
    <t>Serendipitous</t>
  </si>
  <si>
    <t>Eskimo</t>
  </si>
  <si>
    <t>Maddie's Charm</t>
  </si>
  <si>
    <t>Dixie Brass</t>
  </si>
  <si>
    <t>denotes a foal that has raced</t>
  </si>
  <si>
    <t>*</t>
  </si>
  <si>
    <t>Complete Package is by Boundary out of G1 winner Buy The Firm, making her a three-quarter sister to Shoppingwithbetty, the dam of Smarty's beautiful first foal.</t>
  </si>
  <si>
    <t>Kilgary</t>
  </si>
  <si>
    <t>Don B.</t>
  </si>
  <si>
    <t>Lady Beelzebub</t>
  </si>
  <si>
    <t>Devil His Due</t>
  </si>
  <si>
    <t>Slew O'Gold</t>
  </si>
  <si>
    <t>Rhiana</t>
  </si>
  <si>
    <t>Domaine (CHI)</t>
  </si>
  <si>
    <t>Mr. Prospector</t>
  </si>
  <si>
    <t>Highest Auction Price</t>
  </si>
  <si>
    <t>Simply Simple</t>
  </si>
  <si>
    <t>Hey Smarty</t>
  </si>
  <si>
    <t>Pine Bluff</t>
  </si>
  <si>
    <t>Outlasting</t>
  </si>
  <si>
    <t>Pleasant Point</t>
  </si>
  <si>
    <t>Music House</t>
  </si>
  <si>
    <t>Chocolate Fudge</t>
  </si>
  <si>
    <t>Caro (IRE)</t>
  </si>
  <si>
    <t>Sword Dance (IRE)</t>
  </si>
  <si>
    <t>Qualatative</t>
  </si>
  <si>
    <t>Glen Hill Farm</t>
  </si>
  <si>
    <t>Total Earnings</t>
  </si>
  <si>
    <t>Crafty Prospector</t>
  </si>
  <si>
    <t>This is a stunning colt -- very big, with lots of class and lots of substance. He has a wonderful disposition and tons of personality. He's just a very classy colt, says Fares Farm Manager Shannon White. This colt's dam is a full sister to the dam of BARBARO. // Colt died in 2006. // Lucky Lavender Girl (in foal to Smarty Jones) was bought for $370,000 by Adirondack Farm at the 2005 Keeneland November Breeding Stock Sale.</t>
  </si>
  <si>
    <t>Texas Commando</t>
  </si>
  <si>
    <t>Smoking Wise</t>
  </si>
  <si>
    <t>Sparkle of Stones (FR)</t>
  </si>
  <si>
    <t>Golden Marlin</t>
  </si>
  <si>
    <t>Big Tease sold for $6,000 to Pat Purdy at the 2008 Keeneland Horses of All Ages Sale, consigned by Three Chimneys Sales, Agent. // Mare covered by Smarty Jones but not believed to be in foal (according to the catalog).</t>
  </si>
  <si>
    <t>Careleon</t>
  </si>
  <si>
    <t>Sarah's World</t>
  </si>
  <si>
    <t>Cat Ali</t>
  </si>
  <si>
    <t>Follow Betsy</t>
  </si>
  <si>
    <t>Xtreme Bid</t>
  </si>
  <si>
    <t>Clarins</t>
  </si>
  <si>
    <t>Honolua Bay</t>
  </si>
  <si>
    <t>Breezing</t>
  </si>
  <si>
    <t>Starship Leia</t>
  </si>
  <si>
    <t>Propellor Jones</t>
  </si>
  <si>
    <t>Crystal House</t>
  </si>
  <si>
    <t>Type</t>
  </si>
  <si>
    <t>Time</t>
  </si>
  <si>
    <t>Valid Appeal</t>
  </si>
  <si>
    <t>Notes</t>
  </si>
  <si>
    <t>Broodmare Sire</t>
  </si>
  <si>
    <t>Dance Partner (JPN)</t>
  </si>
  <si>
    <t>Sadler's Wells</t>
  </si>
  <si>
    <t>I Love New York</t>
  </si>
  <si>
    <t>Thunder Gulch</t>
  </si>
  <si>
    <t>Lear Fan</t>
  </si>
  <si>
    <t>Miswaki</t>
  </si>
  <si>
    <t>Harvest the Gold</t>
  </si>
  <si>
    <t>Spend a Buck</t>
  </si>
  <si>
    <t>Anna Sterz</t>
  </si>
  <si>
    <t>Turfway Park</t>
  </si>
  <si>
    <t>Strait From Texas</t>
  </si>
  <si>
    <t>Tomorrow's Song</t>
  </si>
  <si>
    <t>Dancing Road</t>
  </si>
  <si>
    <t>Ladies Nite Out</t>
  </si>
  <si>
    <t>Saintcerely</t>
  </si>
  <si>
    <t>Owned and bred by Live Oak.</t>
  </si>
  <si>
    <t>Quiet Life</t>
  </si>
  <si>
    <t>Chopinina</t>
  </si>
  <si>
    <t>Too Late Jones</t>
  </si>
  <si>
    <t>She's a Rebel Too</t>
  </si>
  <si>
    <t>Died in 2007. // Frank's Rocket Girl is a stakes winner and is the dam of stakes winner Kathy's Rocket. All of her foals to race are winners. This mating is very much about the bloodlines and less about commercial appeal. Irish Open is from Smarty's same female family, and so this filly is inbred 5x4 to the mare Bases Full.</t>
  </si>
  <si>
    <t>Independent Grace</t>
  </si>
  <si>
    <t>Antigone Jones</t>
  </si>
  <si>
    <t>New Regina (BRZ)</t>
  </si>
  <si>
    <t>Fly So Free</t>
  </si>
  <si>
    <t>Away</t>
  </si>
  <si>
    <t>Maestro and Master</t>
  </si>
  <si>
    <t>El Prado (IRE)</t>
  </si>
  <si>
    <t>Green Dancer</t>
  </si>
  <si>
    <t>Worth A Look</t>
  </si>
  <si>
    <t>Biz Jet</t>
  </si>
  <si>
    <t>Rockland</t>
  </si>
  <si>
    <t>Magic Valentine</t>
  </si>
  <si>
    <t>Pulpit</t>
  </si>
  <si>
    <t>Smart 'n Snazzy</t>
  </si>
  <si>
    <t>Angel Amy</t>
  </si>
  <si>
    <t>Morning Bob</t>
  </si>
  <si>
    <t>J. D. Flowers</t>
  </si>
  <si>
    <t>White Gulch</t>
  </si>
  <si>
    <t>Description</t>
  </si>
  <si>
    <t>Paper Route</t>
  </si>
  <si>
    <t xml:space="preserve">Parade of Finery is a full sister to two stakes winners, including Excellent Meeting, and is a three-quarter sister to stakes winner Crown of Crimson, who is the dam of last year's $11-plus million Kingmambo colt.  She is also a half-sister to a 2007 filly by Smarty. </t>
  </si>
  <si>
    <t>gelding, ch. (KY)</t>
  </si>
  <si>
    <t>"Scopey and athletic, nicely topped colt." (Juddmonte Farm manager Garrett O'Rourke) // This colt is a half-brother to Distant Music, winner of the Grade I Dewhurst S.</t>
  </si>
  <si>
    <t>Cozzene</t>
  </si>
  <si>
    <t>Pax</t>
  </si>
  <si>
    <t>Int.</t>
  </si>
  <si>
    <t>A. P. Indy</t>
  </si>
  <si>
    <t>Broodmare was removed from the 2008 Keeneland November Breeding Stock Sale, mated to Smarty Jones, last service May 31, 2008 (believed to be PREGNANT).</t>
  </si>
  <si>
    <t>Name</t>
  </si>
  <si>
    <t>Ilusoria</t>
  </si>
  <si>
    <t>Maria's Mon</t>
  </si>
  <si>
    <t>Indian Snow</t>
  </si>
  <si>
    <t>Santa Anita</t>
  </si>
  <si>
    <t>Theatrical (IRE)</t>
  </si>
  <si>
    <t>Apple Fest</t>
  </si>
  <si>
    <t>Tomorrow's Sunshine</t>
  </si>
  <si>
    <t>Two Punch</t>
  </si>
  <si>
    <t>Fantastic Look</t>
  </si>
  <si>
    <t>Smarty's Gold</t>
  </si>
  <si>
    <t>Pleasant Tap</t>
  </si>
  <si>
    <t>Marlin</t>
  </si>
  <si>
    <t>Soda Jerk</t>
  </si>
  <si>
    <t>A Stark is Born</t>
  </si>
  <si>
    <t>Lit'l Smarty Pants</t>
  </si>
  <si>
    <t>Richmond</t>
  </si>
  <si>
    <t>Stark's a Smarty</t>
  </si>
  <si>
    <t>Smart Management</t>
  </si>
  <si>
    <t>Lord Avie</t>
  </si>
  <si>
    <t>Holy Bolla</t>
  </si>
  <si>
    <t>Once Wild</t>
  </si>
  <si>
    <t>Daybydaybyday</t>
  </si>
  <si>
    <t>Belle Jour</t>
  </si>
  <si>
    <t>Kew Garden</t>
  </si>
  <si>
    <t>Dancing Devlette</t>
  </si>
  <si>
    <t>Wendy Vaala</t>
  </si>
  <si>
    <t>"Born perfect, but never took a breath."</t>
  </si>
  <si>
    <t>Dead born</t>
  </si>
  <si>
    <t>Hay Halo</t>
  </si>
  <si>
    <t>Code Variance</t>
  </si>
  <si>
    <t>Awesome Again</t>
  </si>
  <si>
    <t>Golden Token</t>
  </si>
  <si>
    <t>Repriced</t>
  </si>
  <si>
    <t>Wild Decision</t>
  </si>
  <si>
    <t>Southern Halo</t>
  </si>
  <si>
    <t>Cape Hope</t>
  </si>
  <si>
    <t>Little Lady Smarty</t>
  </si>
  <si>
    <t>Handily</t>
  </si>
  <si>
    <t>Smart Attire</t>
  </si>
  <si>
    <t>Cosmo Pirate</t>
  </si>
  <si>
    <t>Alaska Queen (CAN)</t>
  </si>
  <si>
    <t>Doctor Rap</t>
  </si>
  <si>
    <t>Georgiana</t>
  </si>
  <si>
    <t>Cure the Blues</t>
  </si>
  <si>
    <t>Artisan</t>
  </si>
  <si>
    <t>Keiai Gerbera</t>
  </si>
  <si>
    <t>Stinger (JPN)</t>
  </si>
  <si>
    <t>Gold Legend</t>
  </si>
  <si>
    <t>A.P. Indy</t>
  </si>
  <si>
    <t>Oh Smarty Girl</t>
  </si>
  <si>
    <t>filly (KY)</t>
  </si>
  <si>
    <t>Pisa no Premium</t>
  </si>
  <si>
    <t>Plasma Beam</t>
  </si>
  <si>
    <t>Smarty Kota</t>
  </si>
  <si>
    <t>Louisiana Downs</t>
  </si>
  <si>
    <t>Smart and Fun</t>
  </si>
  <si>
    <t>Vision in Flight</t>
  </si>
  <si>
    <t>Satin Cat</t>
  </si>
  <si>
    <t>Law Society</t>
  </si>
  <si>
    <t>Fiery Sunset</t>
  </si>
  <si>
    <t>Good Morning Smile</t>
  </si>
  <si>
    <t>Lady Argyle</t>
  </si>
  <si>
    <t>Donation</t>
  </si>
  <si>
    <t>Rough Ride was bought by Shyman Stables for $7,000 at the 2007 Keeneland November Breeding Stock Sale. // Mare serviced on April 21, 2007 but not believed to be in foal (according to the Keeneland November Sales catalog).</t>
  </si>
  <si>
    <t>Lengths +/-</t>
  </si>
  <si>
    <t>Laguna Seca</t>
  </si>
  <si>
    <t>Phone Trick</t>
  </si>
  <si>
    <t>Laurel Park</t>
  </si>
  <si>
    <t>Tracy Farmer</t>
  </si>
  <si>
    <t>Formal Dinner</t>
  </si>
  <si>
    <t>Little Venice was sold to Elisabeth H. Alexander for $45,000 at the 2008 Keeneland Horses of All Ages Sale, consigned by Bluewater Sales LLC, Agent. // Mare covered by Smarty Jones but not believed to be in foal (according to the catalog).</t>
  </si>
  <si>
    <t>Sky Classic</t>
  </si>
  <si>
    <t>2/11</t>
  </si>
  <si>
    <t>Jockey</t>
  </si>
  <si>
    <t>Trainer</t>
  </si>
  <si>
    <t>Larehaan</t>
  </si>
  <si>
    <t>SA</t>
  </si>
  <si>
    <t>Oedy's Appeal</t>
  </si>
  <si>
    <t>Time To Dream</t>
  </si>
  <si>
    <t>Baku Breeze</t>
  </si>
  <si>
    <t>Vice Regent</t>
  </si>
  <si>
    <t>Feminine Fury</t>
  </si>
  <si>
    <t>Black Tie Affair</t>
  </si>
  <si>
    <t>Crystal House (CHI)</t>
  </si>
  <si>
    <t>One Hot Lady</t>
  </si>
  <si>
    <t>Sweet and Steady</t>
  </si>
  <si>
    <t>Saint Ballado</t>
  </si>
  <si>
    <t>Colt died in 2007.</t>
  </si>
  <si>
    <t>Bella Gatto</t>
  </si>
  <si>
    <t>Musicanti</t>
  </si>
  <si>
    <t>Space Cruise</t>
  </si>
  <si>
    <t>Speeding Star (ARG)</t>
  </si>
  <si>
    <t>Complete Warrior</t>
  </si>
  <si>
    <t>Saratoga</t>
  </si>
  <si>
    <t>Boundary</t>
  </si>
  <si>
    <t>Procellous</t>
  </si>
  <si>
    <t>Complete Package</t>
  </si>
  <si>
    <t>Borodislew</t>
  </si>
  <si>
    <t>Belong To Me</t>
  </si>
  <si>
    <t>Slew City Slew</t>
  </si>
  <si>
    <t>Heritage of Gold</t>
  </si>
  <si>
    <t>La Equivocada</t>
  </si>
  <si>
    <t>Magical Flash</t>
  </si>
  <si>
    <t>Deputy Minister</t>
  </si>
  <si>
    <t>Megaturn</t>
  </si>
  <si>
    <t>Smarty Party Girl</t>
  </si>
  <si>
    <t>Owner</t>
  </si>
  <si>
    <t>Relaunch</t>
  </si>
  <si>
    <t>Selkirk</t>
  </si>
  <si>
    <t>Follow the Leader</t>
  </si>
  <si>
    <t>Run Smart One</t>
  </si>
  <si>
    <t>Lovington</t>
  </si>
  <si>
    <t>Winnie The Stew</t>
  </si>
  <si>
    <t>Chef</t>
  </si>
  <si>
    <t>Smarten</t>
  </si>
  <si>
    <t>Holy Bull</t>
  </si>
  <si>
    <t>Bells Are Ringing</t>
  </si>
  <si>
    <t>Screamer</t>
  </si>
  <si>
    <t>Belle of Abruzzi</t>
  </si>
  <si>
    <t>Note: Does not include preview workouts for sales.</t>
  </si>
  <si>
    <t>Christmas Star</t>
  </si>
  <si>
    <t>Abraham Again</t>
  </si>
  <si>
    <t>Danzig</t>
  </si>
  <si>
    <t>Broodmare</t>
  </si>
  <si>
    <t>Foal Date</t>
  </si>
  <si>
    <t>Lady Cheyne</t>
  </si>
  <si>
    <t>Native Wind Dancer</t>
  </si>
  <si>
    <t>This colt is a half-sister to Unbridled and Cahill Road.</t>
  </si>
  <si>
    <t>Alysheba</t>
  </si>
  <si>
    <t>Hold to Fashion</t>
  </si>
  <si>
    <t>Smart Chic</t>
  </si>
  <si>
    <t>Average Price</t>
  </si>
  <si>
    <t>Smarty's Charm</t>
  </si>
  <si>
    <t>Died in 2008.</t>
  </si>
  <si>
    <t>Circle of Life (SAF)</t>
  </si>
  <si>
    <t>Shell Ginger (IRE)</t>
  </si>
  <si>
    <t>Style Setter</t>
  </si>
  <si>
    <t>Manila</t>
  </si>
  <si>
    <t>Broodmare was removed from the 2008 Keeneland November Breeding Stock Sale, mated to Smarty Jones, last service May 15, 2008 (believed to be PREGNANT).</t>
  </si>
  <si>
    <t>Steady Eddie</t>
  </si>
  <si>
    <t>Jonespartyofwon</t>
  </si>
  <si>
    <t>Beautiful America</t>
  </si>
  <si>
    <t>Dixie Heat</t>
  </si>
  <si>
    <t>Irish Tower</t>
  </si>
  <si>
    <t>Halo</t>
  </si>
  <si>
    <t>Keeneland</t>
  </si>
  <si>
    <t>Dead foal in 2006. Bred to Smarty again in 2006 and foaled a colt on March 18, 2007.</t>
  </si>
  <si>
    <t>Wise Impression</t>
  </si>
  <si>
    <t>Solvig</t>
  </si>
  <si>
    <t>Prom Knight</t>
  </si>
  <si>
    <t>Respectful</t>
  </si>
  <si>
    <t>Belles Lettres</t>
  </si>
  <si>
    <t>Alhaarth (IRE)</t>
  </si>
  <si>
    <t>Colonial Ally</t>
  </si>
  <si>
    <t>Open Forum</t>
  </si>
  <si>
    <t>Smarty Bull</t>
  </si>
  <si>
    <t>Byzantine</t>
  </si>
  <si>
    <t>colt</t>
  </si>
  <si>
    <t>Wild and Wonderful</t>
  </si>
  <si>
    <t>Kennedy Road</t>
  </si>
  <si>
    <t>Delaware Park</t>
  </si>
  <si>
    <t>Second Glance</t>
  </si>
  <si>
    <t>Starship Voodoo</t>
  </si>
  <si>
    <t>Tabasco Cat</t>
  </si>
  <si>
    <t>I'll Get There</t>
  </si>
  <si>
    <t>Skybox</t>
  </si>
  <si>
    <t>Lady Tabitha</t>
  </si>
  <si>
    <t>Atticus</t>
  </si>
  <si>
    <t>Venus</t>
  </si>
  <si>
    <t>Steady Growth</t>
  </si>
  <si>
    <t>Radiant Ring</t>
  </si>
  <si>
    <t>Ricoriatoa</t>
  </si>
  <si>
    <t>Be Smart</t>
  </si>
  <si>
    <t>Chester House</t>
  </si>
  <si>
    <t>General Assembly</t>
  </si>
  <si>
    <t>Starboard Tack</t>
  </si>
  <si>
    <t>Evening Primrose</t>
  </si>
  <si>
    <t>Polish Numbers</t>
  </si>
  <si>
    <t>Dayjur</t>
  </si>
  <si>
    <t>Madame Anne Peters (GB)</t>
  </si>
  <si>
    <t>Northern Jove (CAN)</t>
  </si>
  <si>
    <t>Golden Jewel Box</t>
  </si>
  <si>
    <t>Roar</t>
  </si>
  <si>
    <t>Montbrook</t>
  </si>
  <si>
    <t>I Aim High</t>
  </si>
  <si>
    <t>I Enclose</t>
  </si>
  <si>
    <t>Dead foal.</t>
  </si>
  <si>
    <t>Dream Regally</t>
  </si>
  <si>
    <t>Runaway Groom</t>
  </si>
  <si>
    <t>Husonet</t>
  </si>
  <si>
    <t>Madolin Wind</t>
  </si>
  <si>
    <t>Data compiled by:</t>
  </si>
  <si>
    <t>Leading Candidate</t>
  </si>
  <si>
    <t>Shoppingwithbetty</t>
  </si>
  <si>
    <t>Sir Cat</t>
  </si>
  <si>
    <t>Dance Routine</t>
  </si>
  <si>
    <t>Stan's Smarty Girl</t>
  </si>
  <si>
    <t>Automated</t>
  </si>
  <si>
    <t>Lucky Lavender Gal</t>
  </si>
  <si>
    <t>Afleet</t>
  </si>
  <si>
    <t>Djebel Amour</t>
  </si>
  <si>
    <t>Sweet Screamer</t>
  </si>
  <si>
    <t>Roanoke</t>
  </si>
  <si>
    <t>Fappiano</t>
  </si>
  <si>
    <t>Chief's Crown</t>
  </si>
  <si>
    <t>Smart Coco</t>
  </si>
  <si>
    <t>Affirmed</t>
  </si>
  <si>
    <t>Ever Lasting</t>
  </si>
  <si>
    <t>Keefer</t>
  </si>
  <si>
    <t>Kimonina</t>
  </si>
  <si>
    <t>Spectacular Bid</t>
  </si>
  <si>
    <t>Radiant Glow</t>
  </si>
  <si>
    <t>Spin a Mood</t>
  </si>
  <si>
    <t>Star Attraction</t>
  </si>
  <si>
    <t>Smackeroo</t>
  </si>
  <si>
    <t>Class</t>
  </si>
  <si>
    <t>Quiet American</t>
  </si>
  <si>
    <t>Earth To Jackie</t>
  </si>
  <si>
    <t>Bells are Ringing</t>
  </si>
  <si>
    <t>Hold Your Peace</t>
  </si>
  <si>
    <t>Our Wildirish Rose</t>
  </si>
  <si>
    <t>Smartie Bobbi</t>
  </si>
  <si>
    <t>Toi et Moi</t>
  </si>
  <si>
    <t>Uplifting</t>
  </si>
  <si>
    <t>War Chant</t>
  </si>
  <si>
    <t>Removed from the 2008 Keeneland November Breeding Stock Sale. // Graceful Manor (in foal to Smarty Jones) was bought for $125,000 by Sense Bloodstock at the 2007 Keeneland November Breeding Stock Sale. // Mare serviced on February 23, 2007.</t>
  </si>
  <si>
    <t>Serra Lake</t>
  </si>
  <si>
    <t>Irish Open</t>
  </si>
  <si>
    <t>Shootforthestars</t>
  </si>
  <si>
    <t>Settling Mist</t>
  </si>
  <si>
    <t>Woodman</t>
  </si>
  <si>
    <t>Wild Again</t>
  </si>
  <si>
    <t>Mary Cassatt</t>
  </si>
  <si>
    <t>Lonely Girl</t>
  </si>
  <si>
    <t>Sanibel Island</t>
  </si>
  <si>
    <t>Gossamer</t>
  </si>
  <si>
    <t>Silver Deputy</t>
  </si>
  <si>
    <t>Broad Brush</t>
  </si>
  <si>
    <t>off</t>
  </si>
  <si>
    <t>sl</t>
  </si>
  <si>
    <t>gd</t>
  </si>
  <si>
    <t>Missadryannaatto</t>
  </si>
  <si>
    <t>Bam Bam Bull</t>
  </si>
  <si>
    <t>1/2</t>
  </si>
  <si>
    <t>Floating Island</t>
  </si>
  <si>
    <t>Meadowlands</t>
  </si>
  <si>
    <t>Elusive Male</t>
  </si>
  <si>
    <t>Perfect Copy</t>
  </si>
  <si>
    <t>gelding, b. (KY)</t>
  </si>
  <si>
    <t>Reproduction</t>
  </si>
  <si>
    <t>Tap Your Feet</t>
  </si>
  <si>
    <t>Stop The Music</t>
  </si>
  <si>
    <t>Royal Academy</t>
  </si>
  <si>
    <t>Lord At War (ARG)</t>
  </si>
  <si>
    <t>La Paz</t>
  </si>
  <si>
    <t>French Deputy</t>
  </si>
  <si>
    <t>Miss Winning Sweep</t>
  </si>
  <si>
    <t>End Sweep</t>
  </si>
  <si>
    <t>Effervescing</t>
  </si>
  <si>
    <t>Four Plus Four</t>
  </si>
  <si>
    <t>Go Smarty Go</t>
  </si>
  <si>
    <t>Frank's Rocket Girl</t>
  </si>
  <si>
    <t>Desert Prince (IRE)</t>
  </si>
  <si>
    <t>I'll Show Them</t>
  </si>
  <si>
    <t>Lean Queen Cobra</t>
  </si>
  <si>
    <t>Euthanized while in foal.</t>
  </si>
  <si>
    <t>Golden Honor</t>
  </si>
  <si>
    <t>Spinning World</t>
  </si>
  <si>
    <t>Sir Harry Lewis</t>
  </si>
  <si>
    <t>La Gueriere</t>
  </si>
  <si>
    <t>Barren in 2006. Bred to Smarty again in 2006 and foaled a colt on March 13, 2007.</t>
  </si>
  <si>
    <t>Apasionata Sonata</t>
  </si>
  <si>
    <t>Charles Town</t>
  </si>
  <si>
    <t>Superstardom</t>
  </si>
  <si>
    <t>Reem Al Barari</t>
  </si>
  <si>
    <t>Rachel's Song</t>
  </si>
  <si>
    <t>Quiet Strike</t>
  </si>
  <si>
    <t>Carson City</t>
  </si>
  <si>
    <t>Seeking the Gold</t>
  </si>
  <si>
    <t>Royal Straight</t>
  </si>
  <si>
    <t>Shy Tom</t>
  </si>
  <si>
    <t>Loose Park</t>
  </si>
  <si>
    <t>Senza Unica</t>
  </si>
  <si>
    <t>Dixieland Band</t>
  </si>
  <si>
    <t>Mimi's Golden Girl</t>
  </si>
  <si>
    <t>Unbridled's Song</t>
  </si>
  <si>
    <t>Lake Lady</t>
  </si>
  <si>
    <t>Sparkle of Stones (in foal to Smarty Jones) was bought for $360,000 by Margaret O'Toole at the 2005 Keeneland November Breeding Stock Sale.</t>
  </si>
  <si>
    <t>Hoh Buzzard (IRE)</t>
  </si>
  <si>
    <t>Ganasheba</t>
  </si>
  <si>
    <t>Smart Dreams</t>
  </si>
  <si>
    <t>Dreams Gallore</t>
  </si>
  <si>
    <t>Must Be a Lady</t>
  </si>
  <si>
    <t>Illucination</t>
  </si>
  <si>
    <t>Rahy Rose</t>
  </si>
  <si>
    <t>Lasting Approval</t>
  </si>
  <si>
    <t>Mystery Trip</t>
  </si>
  <si>
    <t>Barren.</t>
  </si>
  <si>
    <t>Smart Sugar</t>
  </si>
  <si>
    <t>Elusive Point</t>
  </si>
  <si>
    <t>Forty Niner</t>
  </si>
  <si>
    <t>Shy Eda (ARG)</t>
  </si>
  <si>
    <t>Shy Greeting (ARG)</t>
  </si>
  <si>
    <t>Sweet Eternity (BRZ)</t>
  </si>
  <si>
    <t>Lily O'Gold</t>
  </si>
  <si>
    <t>Apalachee</t>
  </si>
  <si>
    <t>Dynaformer</t>
  </si>
  <si>
    <t>Cala (FR)</t>
  </si>
  <si>
    <t>Torrid Affair</t>
  </si>
  <si>
    <t>Aydeed</t>
  </si>
  <si>
    <t>Copelan</t>
  </si>
  <si>
    <t>Lady's Legacy</t>
  </si>
  <si>
    <t>Kentucky Jones</t>
  </si>
  <si>
    <t>colt (PA)</t>
  </si>
  <si>
    <t>FL</t>
  </si>
  <si>
    <t>Brangelina</t>
  </si>
  <si>
    <t>Gallant Fields</t>
  </si>
  <si>
    <t>Flying Granville</t>
  </si>
  <si>
    <t>Moojab</t>
  </si>
  <si>
    <t>Sheza Honey</t>
  </si>
  <si>
    <t>Honey Jay</t>
  </si>
  <si>
    <t>Sunday Silence</t>
  </si>
  <si>
    <t>Storm Bird</t>
  </si>
  <si>
    <t>Performing Arts (IRE)</t>
  </si>
  <si>
    <t>Colt died soon after foaling. // Earth To Jackie was bought by Stuart &amp; Kim Morris for $50,000 at the 2006 Keeneland November Breeding Stock Sale; reserve not attained.</t>
  </si>
  <si>
    <t>Dance Special</t>
  </si>
  <si>
    <t>Little Green Light</t>
  </si>
  <si>
    <t>Ema Bovary (CHI)</t>
  </si>
  <si>
    <t>Miss Seffens</t>
  </si>
  <si>
    <t>Dream Child</t>
  </si>
  <si>
    <t>Giant's Causeway</t>
  </si>
  <si>
    <t>Dream for a Moment</t>
  </si>
  <si>
    <t>Equity Event</t>
  </si>
  <si>
    <t>High Yield</t>
  </si>
  <si>
    <t>Class Choice</t>
  </si>
  <si>
    <t>Redboard King</t>
  </si>
  <si>
    <t>Dance the Slew</t>
  </si>
  <si>
    <t>Distinctive Code</t>
  </si>
  <si>
    <t>Lost Code</t>
  </si>
  <si>
    <t>Peaks and Valleys</t>
  </si>
  <si>
    <t>Lord at War (ARG)</t>
  </si>
  <si>
    <t>Nannycam</t>
  </si>
  <si>
    <t>Aly Sangue</t>
  </si>
  <si>
    <t>Alydar</t>
  </si>
  <si>
    <t>Arctica</t>
  </si>
  <si>
    <t>With Approval</t>
  </si>
  <si>
    <t>Matchlite</t>
  </si>
  <si>
    <t>Tampa Bay Downs</t>
  </si>
  <si>
    <t>Bigger Half</t>
  </si>
  <si>
    <t>Seattle Dancer</t>
  </si>
  <si>
    <t>Bought back by Three Chimneys Farm, Agent, for $17,000 at the 2008 Keeneland November Breeding Stock Sale.</t>
  </si>
  <si>
    <t>My Amandari</t>
  </si>
  <si>
    <t>Aborted.</t>
  </si>
  <si>
    <t>Cristalline (CHI)</t>
  </si>
  <si>
    <t>Hippocrates Jones</t>
  </si>
  <si>
    <t>Smarty Speed</t>
  </si>
  <si>
    <t>No More Ironing</t>
  </si>
  <si>
    <t>filly, dkb./b. (KY)</t>
  </si>
  <si>
    <t>Broodmare Illucination was bought for $40,000 by Empresas Norte Sur at the 2008 Keeneland November Breeding Stock Sale, mated to Smarty Jones, last service April 23, 2008 (believed to be PREGNANT).</t>
  </si>
  <si>
    <t>Smarty Gras</t>
  </si>
  <si>
    <t>Nabil</t>
  </si>
  <si>
    <t>Forest Wildcat</t>
  </si>
  <si>
    <t>Fiesta</t>
  </si>
  <si>
    <t>Deputy Commander</t>
  </si>
  <si>
    <t>Tale of the Cat</t>
  </si>
  <si>
    <t>Airtight</t>
  </si>
  <si>
    <t>Pure Speed</t>
  </si>
  <si>
    <t>Gulch</t>
  </si>
  <si>
    <t>Broodmare was removed from the 2008 Keeneland November Breeding Stock Sale, mated to Smarty Jones, last service June 18, 2008 (believed to be NOT PREGNANT).</t>
  </si>
  <si>
    <t xml:space="preserve"> </t>
  </si>
  <si>
    <t>Colt died in 2007. // Foaled in Japan. // Lilac Queen (in foal to Smarty Jones) was bought for $525,000 by Shadai Farm at the 2005 Keeneland November Breeding Stock Sale.</t>
  </si>
  <si>
    <t>Smarty Rocket</t>
  </si>
  <si>
    <t>Quiet Down</t>
  </si>
  <si>
    <t>Yankee Scholar</t>
  </si>
  <si>
    <t xml:space="preserve"> -- Fox Hill Farms: http://rockportharbor.com/forum/index.php</t>
  </si>
  <si>
    <t>Rahy</t>
  </si>
  <si>
    <t>Miss American Mink</t>
  </si>
  <si>
    <t>Miss Sunshine</t>
  </si>
  <si>
    <t>Emosewa</t>
  </si>
  <si>
    <t>Smart Rebel</t>
  </si>
  <si>
    <t>Keep Me In Mind</t>
  </si>
  <si>
    <t>War Thief</t>
  </si>
  <si>
    <t>Fitted Crown</t>
  </si>
  <si>
    <t>San Francisco CA 94110</t>
  </si>
  <si>
    <t>415-517-2592</t>
  </si>
  <si>
    <t>Acknowledgements:</t>
  </si>
  <si>
    <t>Star of Broadway</t>
  </si>
  <si>
    <t>Cape Canaveral</t>
  </si>
  <si>
    <t>Special Moves</t>
  </si>
  <si>
    <t>Rich in Spirit</t>
  </si>
  <si>
    <t>Rahcak (IRE)</t>
  </si>
  <si>
    <t>Generous</t>
  </si>
  <si>
    <t>Sunrise Slew</t>
  </si>
  <si>
    <t>Gammon</t>
  </si>
  <si>
    <t>Blue Forest</t>
  </si>
  <si>
    <t>Confidently is a full sister to Yankee Gentleman. She had a 2006 foal by Smarty Jones.</t>
  </si>
  <si>
    <t>Rough Ride</t>
  </si>
  <si>
    <t>Forestry</t>
  </si>
  <si>
    <t>Sporty</t>
  </si>
  <si>
    <t>Indian Jones</t>
  </si>
  <si>
    <t>Brilliant Sunshine</t>
  </si>
  <si>
    <t>Edgy Diplomat</t>
  </si>
  <si>
    <t>Boxer Jones</t>
  </si>
  <si>
    <t xml:space="preserve"> -- Thoroghbred Champions: http://www.thoroughbredchampions.com/forum/</t>
  </si>
  <si>
    <t>Parade of Finery</t>
  </si>
  <si>
    <t>General Meeting</t>
  </si>
  <si>
    <t>Smarty Dance</t>
  </si>
  <si>
    <t>329 Richland Avenue</t>
  </si>
  <si>
    <t>Fancy and Smart</t>
  </si>
  <si>
    <t>Smartybegone</t>
  </si>
  <si>
    <t>Me And Miss Jones</t>
  </si>
  <si>
    <t>Sarah Cataldo</t>
  </si>
  <si>
    <t>Genius Jones</t>
  </si>
  <si>
    <t>Most of the information is culled from the wonderful contributors to two racing forums on the web:</t>
  </si>
  <si>
    <t>Classic Claret</t>
  </si>
  <si>
    <t>Northwest Farms LLC</t>
  </si>
  <si>
    <t>Loosely</t>
  </si>
  <si>
    <t>Corrazona</t>
  </si>
  <si>
    <t>El Gran Senor</t>
  </si>
  <si>
    <t>Monsun (GER)</t>
  </si>
  <si>
    <t>gelding, b. (JPN)</t>
  </si>
  <si>
    <t>Cozzena</t>
  </si>
  <si>
    <t>Brainiac</t>
  </si>
  <si>
    <t>Danyross (IRE)</t>
  </si>
  <si>
    <t>Danehill</t>
  </si>
  <si>
    <t>Cala's Cookie</t>
  </si>
  <si>
    <t>Golden Gate Fields</t>
  </si>
  <si>
    <t>TOTALS</t>
  </si>
  <si>
    <t>A Little Evil</t>
  </si>
  <si>
    <t>Stormy Sea</t>
  </si>
  <si>
    <t>True Legacy (GB)</t>
  </si>
  <si>
    <t>Rockland was nominated to the 2009 Triple Crown. // As of July 2008, trained by Michael Matz. // Offered at 2007 Keeneland September Yearling Sale, consigned by Middlebrook Farm. Reserve not attained. // Owned and bred by Emory A. Hamilton.</t>
  </si>
  <si>
    <t>Pimlico</t>
  </si>
  <si>
    <t>Jelani</t>
  </si>
  <si>
    <t xml:space="preserve">Trainer David Carroll does not believe Doctor Rap will ever race. // On April 27, 2009, Doctor Rap was ready to workout at Churchill Downs, when he dumped his rider and ran into another horse. The other horse sustained fatal injuries, while Doctor Rap injured his shoulder, but there were no breaks. // Bought by My Meadowview Farm for $350,000 at 2007 Keeneland September Yearling Sale, consigned by Bluegrass Thoroughbred Services. // "He's a really nice colt. A big, flashy chestnut colt, he's the best the mare has ever had and she's a stakes producer. He's just a really, really nice colt. Looks just like Smarty." (John Stuart). </t>
  </si>
  <si>
    <t>Bought for $15,000 by Jerry Hollendorfer at 2007 Keeneland September Yearling Sale, consigned by Brookdale Sales. // "He is very well balanced, correct, has a nice hip and shoulder, good bone, and is a very nicecolt." (Gainsborough Farm) // Bred by Darley.</t>
  </si>
  <si>
    <t>Smart Alecky</t>
  </si>
  <si>
    <t>Smart Spending</t>
  </si>
  <si>
    <t>gelding, b. (FL)</t>
  </si>
  <si>
    <t>Wander Storm</t>
  </si>
  <si>
    <t>Bred by Lantern Hill.</t>
  </si>
  <si>
    <t>Arlington Park</t>
  </si>
  <si>
    <t>Gelded in the summer of 2008. // As of August 2008, owned by Fantasy Lane Stables and trained by Alan Seewald. As a May foal, he apparently spent much of the summer growing up a bit at a farm in NJ, and wasn't brought back to FLS until mid-August. // Bought by Fantasy Lane Stables for $110,000 at the OBS Spring 2008 Sale of 2YO in Training, consigned by Paul Sharp, agent. // Offered at 2007 Keeneland September Yearling Sale, consigned by Justice Farm. Reserve not attained. // Sheza Honey (in foal to Smarty Jones) was offered at the 2005 Keeneland November Breeding Stock Sale; reserve not attained. // Bred by Greg and Steve Justice of Justice Farm.</t>
  </si>
  <si>
    <t>Finger Lakes</t>
  </si>
  <si>
    <t>Decisively</t>
  </si>
  <si>
    <t>If you have updates: please forward them to Kevin Kraynak at racingheart@mac.com</t>
  </si>
  <si>
    <t>The Smart Look</t>
  </si>
  <si>
    <t>Romp and Stomp</t>
  </si>
  <si>
    <t>Lasting Code</t>
  </si>
  <si>
    <t>Olympio</t>
  </si>
  <si>
    <t>Smarty's Secret</t>
  </si>
  <si>
    <t>Backtalk</t>
  </si>
  <si>
    <t>Emerald Downs</t>
  </si>
  <si>
    <t>Smart 'n Stormy</t>
  </si>
  <si>
    <t>designates 2YO workout</t>
  </si>
  <si>
    <t>According to the Dogwood Stable website: "Resembles his dad. Longish body and stands 15.1. Well-muscled in his forearms and quarters. Desirable 8-inch overstride when he walks. Quick and durable looking." // Bought by Dogwood Stable for $150,000 at the 2008 Keeneland September Yearling Sale, consigned by Three Chimneys Sales, Agent. // Sweet and Steady is stakes placed and is the dam of four stakes horses from four foals to race, including G2 winner Sweet and Ready (who has produced a stakes winner by Kingmambo in Japan).  Her 2nd dam is a half-sister to the dam of Quack. // Breeder: Drs. Jayaraman and the Roy V. Chapman Rev. Trust.</t>
  </si>
  <si>
    <t>Smarty John</t>
  </si>
  <si>
    <t>Southern Streamer</t>
  </si>
  <si>
    <t>Dixie Union</t>
  </si>
  <si>
    <t>Del Mar</t>
  </si>
  <si>
    <t>Smart Strike</t>
  </si>
  <si>
    <t>Sweeterthan Julips</t>
  </si>
  <si>
    <t>Undercover</t>
  </si>
  <si>
    <t>Shady Reflection</t>
  </si>
  <si>
    <t>Sultry Song</t>
  </si>
  <si>
    <t>Com Easy</t>
  </si>
  <si>
    <t>Halo's Image</t>
  </si>
  <si>
    <t>Dial a Song</t>
  </si>
  <si>
    <t>Mining</t>
  </si>
  <si>
    <t>Penn National</t>
  </si>
  <si>
    <t>Reported deceased in 2008. // Bought by Jon Kelly for $350,000 at 2007 Keeneland September Yearling Sale, consigned by Runnymede Farm. // "She is absolutely gorgeous, very leggy, has the classiest look you've ever seen. She just gives something off that give you little goosebumps," says Runnymede Farm manager Martin O'Dowd. "She's the most special foal we've had this year."</t>
  </si>
  <si>
    <t>Fortunate Prospect</t>
  </si>
  <si>
    <t>Allen's Prospect</t>
  </si>
  <si>
    <t>Unbridled Valor</t>
  </si>
  <si>
    <t>Miss Mary (ARG)</t>
  </si>
  <si>
    <t>Ellis Park</t>
  </si>
  <si>
    <t>Gracinha</t>
  </si>
  <si>
    <t>Siphon (BRZ)</t>
  </si>
  <si>
    <t>Magnolia Springs</t>
  </si>
  <si>
    <t>Proud Owner</t>
  </si>
  <si>
    <t>Muzdahi</t>
  </si>
  <si>
    <t>-nk</t>
  </si>
  <si>
    <t>Claimed by Harry F. Thompson Jr. on August 11, 2009.  // Named "Keepmeinmind" in August 2008 (as confirmed by the Breeders Cup Nominations website), but the name was changed in September 2008. // As of July 2008, in the barn of trainer, John Servis. // Offered at the Fasig-Tipton 2008 Midlantic 2YO in Training Sale, consigned by Kirkwood Stables, Agent. Reserve not met. // Offered at Fasig-Tipton's 2008 Calder Select 2YO in Training Sale, consigned by Kirkwood Stables, Agent. Reserve not met. // Bought by Eddie Woods, Agent for $250,000 at 2007 Keeneland September Yearling Sale, consigned by Eaton Sales. // Offered at the Keeneland 2006 November Breeding Stock Sale, consigned by Eaton Sales. Removed from sale. // Bells Are Ringing (in foal to Smarty Jones) was bought for $425,000 by Gaines-Gentry, Agent at the 2005 Keeneland November Breeding Stock Sale. // Bells Are Ringing is a half-sister to Unbridled's Song. Bells Are Ringing had a Smarty colt also in 2007.</t>
  </si>
  <si>
    <t>3/24</t>
  </si>
  <si>
    <t>Timonium</t>
  </si>
  <si>
    <t>Remington Park</t>
  </si>
  <si>
    <t>Miss Causeway</t>
  </si>
  <si>
    <t>Asheba</t>
  </si>
  <si>
    <t>Holy Joanne</t>
  </si>
  <si>
    <t>2/7</t>
  </si>
  <si>
    <t>Kentucky Downs</t>
  </si>
  <si>
    <t>Stone Farm</t>
  </si>
  <si>
    <t>Flying Zee Stables</t>
  </si>
  <si>
    <t>Bought by Chris Bindner for $9,000 at the 2009 Keeneland September Yearlings Sale. // Angliana Dancer (in foal to Smarty Jones) was bought by Walnut Green for $140,000 at the 2007 Keeneland November Breeding Stock Sale. // Mare serviced on April 18, 2007.</t>
  </si>
  <si>
    <t>Corporate Smarty</t>
  </si>
  <si>
    <t>Miss Smarty Pants</t>
  </si>
  <si>
    <t>On September 29 2009, Goldshaft suffered a condylar fracture of his left cannon bone during a workout and was euthanized. // Goldshaft is now in training at Fair Hill under trainer, Michael Matz. // Goldshaft experienced a break in training in January 2008 because of sensitivity in his left hip and right hock and received three months of acupuncture treatments, which were deemed successful. (Sequoia Racing News) //Bought by RBTS for Sequoia Racing for $400,000 at 2007 Keeneland September Yearling Sale, consigned by Man o' War Farm (agent for Reiko and Micael Baum). // "He's really nice, a very big colt and we're really, really pleased with him," said Michael Baum at Man o' War Farm.</t>
  </si>
  <si>
    <t>Lady of Jackson</t>
  </si>
  <si>
    <t>Gilded Gem</t>
  </si>
  <si>
    <t>Trixianna</t>
  </si>
  <si>
    <t>Snow Ridge</t>
  </si>
  <si>
    <t>Kris's Love</t>
  </si>
  <si>
    <t>Kris S</t>
  </si>
  <si>
    <t>Kafwain</t>
  </si>
  <si>
    <t>Indygo Shiner</t>
  </si>
  <si>
    <t>Rare Beauty</t>
  </si>
  <si>
    <t>Lord Mario</t>
  </si>
  <si>
    <t>Gaines-Gentry Thoroughbreds &amp; Serengeti Stable</t>
  </si>
  <si>
    <t>Mt Livermore</t>
  </si>
  <si>
    <t>Bandango</t>
  </si>
  <si>
    <t>To name all of the contributors would be impossible and to even try would ensure that I would miss some important names.</t>
  </si>
  <si>
    <t>Wow Thing</t>
  </si>
  <si>
    <t>Lloydobler</t>
  </si>
  <si>
    <t>NM - Sunland Park</t>
  </si>
  <si>
    <t>According to Kristen Manning, of the Racing Australia website, the Ultravase filly died shortly after birth.</t>
  </si>
  <si>
    <t>Ultravase</t>
  </si>
  <si>
    <t>Broodmare was withdrawn from the 2009 Keeneland November Breeding Stock Sale.  Believed not to be pregnant. // Broodmare serviced June 1.</t>
  </si>
  <si>
    <t>Silent Oath</t>
  </si>
  <si>
    <t>MD - Laurel</t>
    <phoneticPr fontId="2" type="noConversion"/>
  </si>
  <si>
    <t>Last Toots</t>
  </si>
  <si>
    <t>WV - Charles Town</t>
    <phoneticPr fontId="2" type="noConversion"/>
  </si>
  <si>
    <t>Last Seen</t>
  </si>
  <si>
    <t>Smarty Joanne</t>
  </si>
  <si>
    <t>Holidaysatthefarm</t>
  </si>
  <si>
    <t>Feather Maid</t>
  </si>
  <si>
    <t>Cocktails At Seven</t>
  </si>
  <si>
    <t>Sandigo</t>
  </si>
  <si>
    <t>Off</t>
  </si>
  <si>
    <t>x</t>
  </si>
  <si>
    <t>Rank</t>
  </si>
  <si>
    <t>Foal removed from BC database in September 2009.</t>
  </si>
  <si>
    <t>Win Pct.</t>
  </si>
  <si>
    <t>ITM Pct.</t>
  </si>
  <si>
    <t>Mooji Moo</t>
  </si>
  <si>
    <t>Jeblar</t>
  </si>
  <si>
    <t>Sold for $17,000 to M. L. Reavis at the 2009 Keeneland November Breeding Stock Sale.</t>
  </si>
  <si>
    <t>KY - Louisville</t>
    <phoneticPr fontId="2" type="noConversion"/>
  </si>
  <si>
    <t>FL - Ocala</t>
  </si>
  <si>
    <t>Centralinteligence</t>
  </si>
  <si>
    <t>Australia</t>
  </si>
  <si>
    <t>Dell Ridge Farm</t>
    <phoneticPr fontId="2" type="noConversion"/>
  </si>
  <si>
    <t>G</t>
  </si>
  <si>
    <t>Last Known Location</t>
    <phoneticPr fontId="2" type="noConversion"/>
  </si>
  <si>
    <t>Ballena Vista Farm</t>
  </si>
  <si>
    <t>gelding, ch. (KY)</t>
    <phoneticPr fontId="2" type="noConversion"/>
  </si>
  <si>
    <t>PA - Grantsville</t>
    <phoneticPr fontId="2" type="noConversion"/>
  </si>
  <si>
    <t>Russia</t>
  </si>
  <si>
    <t>Sunland Park</t>
  </si>
  <si>
    <t>PA - Philadelphia</t>
    <phoneticPr fontId="2" type="noConversion"/>
  </si>
  <si>
    <t>PA - Grantsville</t>
  </si>
  <si>
    <t>Concern</t>
  </si>
  <si>
    <t>Roy V. Chapman Rev. Trust</t>
    <phoneticPr fontId="2" type="noConversion"/>
  </si>
  <si>
    <t>Ave Earnings</t>
    <phoneticPr fontId="2" type="noConversion"/>
  </si>
  <si>
    <t xml:space="preserve">Lil Miss Smarty K </t>
  </si>
  <si>
    <t xml:space="preserve">Stonestreet Thoroughbred Holdings </t>
    <phoneticPr fontId="2" type="noConversion"/>
  </si>
  <si>
    <t>Indian Hill Farm</t>
    <phoneticPr fontId="2" type="noConversion"/>
  </si>
  <si>
    <t>E. Kelly, G. W. Kelly, and M. Kelly</t>
    <phoneticPr fontId="2" type="noConversion"/>
  </si>
  <si>
    <t>LA - New Orleans</t>
    <phoneticPr fontId="2" type="noConversion"/>
  </si>
  <si>
    <t>Campbellcroft</t>
  </si>
  <si>
    <t xml:space="preserve">Listed as Sortie Provisoire (training break), as of July 13, 2009. // As of May 2009, owned by Didier Provost and trained by S. Loeuillet. // Sold at the ARQANA (Deauville, France) December Breeding Stock Sale in 2008 to Hara de Tercey for €8,000 (about $10,767 in today's currency values). // As of late 2008, Saayebah is in France training with John Hammond, who handles the Sheikh's stable in France.  //  Exported to UAE. // Bought by Shadwell Estate Co Ltd. for $250,000 at 2006 Fasig-Tipton November Select Mixed Sale. // Smarty's first foal is a "very attractive, strong, intelligent filly with good bone, balance and muscle." (Arthur Hancock, part owner and owner of Stone Farm where the filly was foaled) // Shopping With Betty (in foal to Smarty Jones) was bought for $170,000 by Oak Cliff Breeders, Inc. at the 2005 Keeneland November Breeding Stock Sale. </t>
    <phoneticPr fontId="2" type="noConversion"/>
  </si>
  <si>
    <t>Not known</t>
  </si>
  <si>
    <t>Smarty Jill</t>
  </si>
  <si>
    <t xml:space="preserve">Bought for $130,000 by Alex and Joann Lieblong at the 2010 OBS March Two-Year-Old Sale. // Was removed from the 2010 OBS Selected Two-Year-Olds in Training Sale.    //  Bought by W. D. North Thoroughbreds for $52,000 at the 2009 Keeneland September Yearlings Sale. </t>
  </si>
  <si>
    <t>CA  - Los Angeles</t>
    <phoneticPr fontId="2" type="noConversion"/>
  </si>
  <si>
    <t>Good Night Prayer</t>
  </si>
  <si>
    <t>Sortie Provisoire status since 2008. // Gelded in 2008, Happy Madison is in France and owned by some sort of partnership of Noel Forgeard and J. L. Tepper.  // Bought by Royal Amber for $100,000 at 2007 Keeneland September Yearling Sale, consigned by Gainesway (agent For Stonestreet Thoroughbred Holdings LLC). // Offered at the Keeneland 2006 November Breeding Stock Sale, consigned by Summerfield (Francis and Barbara Vanlangendonck), Agent for Stonestreet Thoroughbred Holdings LLC . Removed from sale. // "Leggy, nicely made colt with a beautiful shoulder -- an excellent foal." (Stonestreet Farm manager Andre Lobanoff).</t>
    <phoneticPr fontId="2" type="noConversion"/>
  </si>
  <si>
    <t>Oak Cliff Breeders, Inc, and A. B. Hancock III</t>
    <phoneticPr fontId="2" type="noConversion"/>
  </si>
  <si>
    <t>Smarty Sides</t>
  </si>
  <si>
    <t>Fox Tale Stud</t>
  </si>
  <si>
    <t>Favorite Trick</t>
  </si>
  <si>
    <t>Sipan</t>
  </si>
  <si>
    <t>Hawthorne</t>
  </si>
  <si>
    <t>Two Three Two</t>
  </si>
  <si>
    <t>Klisz</t>
  </si>
  <si>
    <t>Old Time Hockey</t>
  </si>
  <si>
    <t>Sea Stride</t>
  </si>
  <si>
    <t>Removed from the 2010 OBS March Two-Year-Old Sale.</t>
  </si>
  <si>
    <t>The Minstrel (CAN)</t>
  </si>
  <si>
    <t>Pike Place</t>
  </si>
  <si>
    <t>Cloud Illusions</t>
  </si>
  <si>
    <t>Ascot Starre (CAN)</t>
  </si>
  <si>
    <t>Ascot Knight (CAN)</t>
  </si>
  <si>
    <t>Time To Trick Em</t>
  </si>
  <si>
    <t>Macho Uno</t>
  </si>
  <si>
    <t>Poquita Senorita</t>
  </si>
  <si>
    <t>UK</t>
  </si>
  <si>
    <t>Northlands Park</t>
  </si>
  <si>
    <t>Simple Gesture</t>
  </si>
  <si>
    <t>IL - Chicago</t>
  </si>
  <si>
    <t>TBA</t>
  </si>
  <si>
    <t>PA - Bensalem</t>
  </si>
  <si>
    <t>Offered at the 2010 Fasig-Tipton Texas Summer Yearling Sale, but did not sell. // Sold for $9,000 to West Coast Equine at the 2009 Fasig-Tipton Texas December Mixed Sale. // Sold for $6,000 to Harvest Landing at the 2009 Keeneland November Breeding Stock Sale.</t>
  </si>
  <si>
    <t>KY - Louisville</t>
  </si>
  <si>
    <t>Sky Falcon</t>
  </si>
  <si>
    <t>Es Four</t>
  </si>
  <si>
    <t>Smart as Bill</t>
  </si>
  <si>
    <t>Unbridled's Song</t>
    <phoneticPr fontId="2" type="noConversion"/>
  </si>
  <si>
    <t>Jones Zing</t>
  </si>
  <si>
    <t>Sold to Israel Flores Horses LLC for $25,000 at the 2010 Fasig-Tipton Texas Summer Yearling Sale. // Sold to Michael Rogers for $11,000 at the 2009 Keeneland November Breeding Stock Sale.</t>
  </si>
  <si>
    <t>Running Cheetah</t>
  </si>
  <si>
    <t>Japan</t>
  </si>
  <si>
    <t>http://www.ballenavistafarm.com.  // Broodmare sold for $20,000 to N W Management at the 2009 Keeneland November Breeding Stock Sale. // Broodmare serviced April 28.</t>
  </si>
  <si>
    <t>B. P. Walden, L. Taylor, and Roy V. Chapman Rev. Trust</t>
  </si>
  <si>
    <t>Live Oak Stud</t>
  </si>
  <si>
    <t>Phyllis M. Wyeth</t>
  </si>
  <si>
    <t>Wertheimer &amp; Frere</t>
  </si>
  <si>
    <t>Shadai Farm</t>
  </si>
  <si>
    <t>Fontainebleau Farm, Inc.</t>
  </si>
  <si>
    <t>Airlie Stud</t>
  </si>
  <si>
    <t>G. B. Bloodstock Limited</t>
  </si>
  <si>
    <t>Stud TNT</t>
  </si>
  <si>
    <t>J Jamgotchian</t>
  </si>
  <si>
    <t>Beyy L. and Larry Mabee</t>
  </si>
  <si>
    <t>Kenneth Littrell and Patricia L. Chapman</t>
  </si>
  <si>
    <t>Patricia L. Chapman</t>
  </si>
  <si>
    <t>Camille and Jack Garey</t>
  </si>
  <si>
    <t>Willow Oaks Stable, John Stuart, and Peter Bance</t>
  </si>
  <si>
    <t>Dell Ridge Farm LLC</t>
  </si>
  <si>
    <t>Empire Maker</t>
  </si>
  <si>
    <t>New Dawn Thoroughbreds and Roy V. Chapman Rev. Trust</t>
  </si>
  <si>
    <t>Amarina Ventures LLC</t>
  </si>
  <si>
    <t>Janath Pty Ltd.</t>
  </si>
  <si>
    <t>J C Summit Farm</t>
  </si>
  <si>
    <t>Michael and Pamela Levine and Three Chimneys Stallion Fund 1LP</t>
  </si>
  <si>
    <t>Bought by Raut LLC for $2,000 at the 2010 Fasig-Tipton KY Fall Yearlings Sale.</t>
  </si>
  <si>
    <t>Sweet Sadie Lady</t>
  </si>
  <si>
    <t>Shadwell Farm, LLC</t>
  </si>
  <si>
    <t>Woodford Thoroughbreds LLC</t>
  </si>
  <si>
    <t>Indian Creek</t>
  </si>
  <si>
    <t>John C. Oxley</t>
  </si>
  <si>
    <t>Gardiner Farms Limited and Whodat Racing LLC</t>
  </si>
  <si>
    <t>Darley</t>
  </si>
  <si>
    <t>Albert P. Coppola and Roy V. Chapman Rev. Trust</t>
  </si>
  <si>
    <t>Gaines-Gentry Thoroughbreds and Hardy Thoroughbreds</t>
  </si>
  <si>
    <t>Eico Stable</t>
  </si>
  <si>
    <t>Blazing Meadows Farm</t>
  </si>
  <si>
    <t>Runnymeade Farm, Inc. and Catesby W. Clay Investment LLC</t>
  </si>
  <si>
    <t>Sugar Maple Farm</t>
  </si>
  <si>
    <t>Surface</t>
  </si>
  <si>
    <t>A</t>
  </si>
  <si>
    <t>Bluegrass Farm Partners, S. Smith, and Three Chimneys Stallion Fund I LP</t>
  </si>
  <si>
    <t>Morgan's Ford Farm and Three Chimneys Stallion Fund I LP</t>
  </si>
  <si>
    <t>Olin Gentry, Thomas Gaines, and Tres Vinos Farms</t>
  </si>
  <si>
    <t>Edward Seltzer and Beverly Anderson</t>
  </si>
  <si>
    <t>Sun Valley Farm and Patricia L. Chapman</t>
  </si>
  <si>
    <t>Tony Holmes, Dr. and Mrs. Walter Zent, and Patricia L. Chapman</t>
  </si>
  <si>
    <t>Edward Seltzer and Patricia Chapman</t>
  </si>
  <si>
    <t>Larry Mabee</t>
  </si>
  <si>
    <t>Robert V. Hovelson and Three Chimneys Farm, LLC</t>
  </si>
  <si>
    <t>Sun Valley Farm and Coneway Investment Partners LP</t>
  </si>
  <si>
    <t>Queen of Night</t>
  </si>
  <si>
    <t>Kanerrerr</t>
  </si>
  <si>
    <t>Arabian Nights</t>
  </si>
  <si>
    <t>B. P. Walden, C. Montgomery, Dearborn Stable, and Patricia Chapman</t>
  </si>
  <si>
    <t>North Wales LLC</t>
  </si>
  <si>
    <t>Allen Bonnell, Sandra Bonnell, and Patricia Chapman</t>
  </si>
  <si>
    <t>W. S. Farish and Kilroy Thoroughbred Partnership</t>
  </si>
  <si>
    <t>B. P. Walden and H. Sexton</t>
  </si>
  <si>
    <t>Forging Oaks, LLC</t>
  </si>
  <si>
    <t>Swifty Farms Inc.</t>
  </si>
  <si>
    <t>Belmont Road</t>
  </si>
  <si>
    <t>Lake Naivasha</t>
  </si>
  <si>
    <t>Dr &amp; Mrs Thomas Bowman, Richard W. Small and Three Chimneys Farm LLC</t>
  </si>
  <si>
    <t>Masatsugu Otani</t>
  </si>
  <si>
    <t>James B. Harris and Roy V. Chapman Rev. Trust</t>
  </si>
  <si>
    <t>J. Stuart, P. Bance, J. Amling, C. Noell, and Roy V. Chapman Rev. Trust</t>
  </si>
  <si>
    <t>Chester and Mary R. Broman</t>
  </si>
  <si>
    <t>Starship Ballerina</t>
  </si>
  <si>
    <t>Brent Femung, Crystal Femung, and Patricia Chapman</t>
  </si>
  <si>
    <t>Jeffrey and Elizabeth Raine</t>
  </si>
  <si>
    <t>Mueller Farms, Inc.</t>
  </si>
  <si>
    <t>Hertrich/McCarthy Livestock LLC</t>
  </si>
  <si>
    <t>John Hettinger</t>
  </si>
  <si>
    <t>Chad R. Schumer, Nancy Sexton, and Patricia Chapman</t>
  </si>
  <si>
    <t>Royce Roberts</t>
  </si>
  <si>
    <t>S. J. Thoroughbreds LLC</t>
  </si>
  <si>
    <t>Final Discount</t>
  </si>
  <si>
    <t>Palaestra</t>
  </si>
  <si>
    <t>Joselito L. Millan, M.D.</t>
  </si>
  <si>
    <t>colt, b. (PA)</t>
  </si>
  <si>
    <t>Stanley Seelig &amp; Three Chimneys Farm,LLC</t>
  </si>
  <si>
    <t>Bought by George and Lori Hall for $70,000 at the 2010 Keeneland September Yearling Sale</t>
    <phoneticPr fontId="2" type="noConversion"/>
  </si>
  <si>
    <t>Bought by Greg Partain, agent, for $7,500 at the 2010 Fasig-Tipton KY Fall Yearlings Sale.</t>
  </si>
  <si>
    <t>Gary J. and Cindy Faller</t>
  </si>
  <si>
    <t>Potters Creek</t>
  </si>
  <si>
    <t>Native Prospector</t>
  </si>
  <si>
    <t>Danny M. Brown, Donna B. Brown and Whodat Racing LLC</t>
  </si>
  <si>
    <t>Dynamist</t>
  </si>
  <si>
    <t>Miss Hellie</t>
  </si>
  <si>
    <t>Rap Queen</t>
  </si>
  <si>
    <t>Stormin Fever</t>
  </si>
  <si>
    <t>Cool Rhythm</t>
  </si>
  <si>
    <t>Petunia</t>
  </si>
  <si>
    <t>Lil E.Tee</t>
  </si>
  <si>
    <t>True and True</t>
  </si>
  <si>
    <t>Is It True</t>
  </si>
  <si>
    <t>Greene Road</t>
  </si>
  <si>
    <t>Scatmandu</t>
  </si>
  <si>
    <t>Golden Dreams</t>
  </si>
  <si>
    <t>Touch Gold</t>
  </si>
  <si>
    <t>To Dream About</t>
  </si>
  <si>
    <t>Monarchos</t>
  </si>
  <si>
    <t>Gaines-Gentry Thoroughbreds</t>
  </si>
  <si>
    <t>Deckert Enterprises LLP#2 and Three Chimneys Farm LLC</t>
  </si>
  <si>
    <t>Dr &amp; Mrs Thomas Bowman, Larry E. Knight, and Three Chimneys Farm Stallion Fund I LLC</t>
  </si>
  <si>
    <t>Woodbridge Bloodstock and Roy V. Chapman Rev. Trust</t>
  </si>
  <si>
    <t>Stephen Petti and Three Chimneys Farm LLC</t>
  </si>
  <si>
    <t>B. P. Walden</t>
  </si>
  <si>
    <t>Robert B. Trussell Jr.</t>
  </si>
  <si>
    <t>Cloverleaf Farms II, Inc.</t>
  </si>
  <si>
    <t>Bowman &amp; Higgins Stable, et. al. and Patricia Chapman</t>
  </si>
  <si>
    <t>Glen Hill Farm</t>
    <phoneticPr fontId="2" type="noConversion"/>
  </si>
  <si>
    <t>Margaux Farm, Inc., Whodat Racing LLC, Dr. and Mrs. Ira P. Mersack et al</t>
  </si>
  <si>
    <t>PHW Equine Investments LLC and Whodat Racing LLC</t>
  </si>
  <si>
    <t>Cobra Farm</t>
  </si>
  <si>
    <t>Helen K. Groves Revocable Trust</t>
  </si>
  <si>
    <t>Starship Stables and Laurence Leavy</t>
  </si>
  <si>
    <t>Edward J. Kelly Jr., Gregory W. Kelly, and Michael M. Kelly</t>
  </si>
  <si>
    <t>Gulf Coast Farms</t>
  </si>
  <si>
    <t>Alfred Vardeman</t>
  </si>
  <si>
    <t>Morgan's Ford Farm and Whodat Racing LLC</t>
  </si>
  <si>
    <t>Doug Branham</t>
  </si>
  <si>
    <t>Miss Indiana Jones</t>
  </si>
  <si>
    <t>Smarty Carol</t>
  </si>
  <si>
    <t>Miss Union Avenue</t>
  </si>
  <si>
    <t>Steinlen (GB)</t>
  </si>
  <si>
    <t xml:space="preserve">Sweetdreamsgallore </t>
  </si>
  <si>
    <t>Vasilelos Illopoulos and Three Chimneys Farm LLC</t>
  </si>
  <si>
    <t>Charles H. Dieters and Three Chimneys Stallion Fund I LP</t>
  </si>
  <si>
    <t>Soho Star</t>
  </si>
  <si>
    <t>Monsieur de Frappe</t>
  </si>
  <si>
    <t>Ronald Rauscher and Three Chimneys Farm LLC</t>
  </si>
  <si>
    <t xml:space="preserve">Hidden Lake Farm, LLC and Richard K. Gallagher </t>
  </si>
  <si>
    <t>Tony Holmes and Grousemont Farm</t>
  </si>
  <si>
    <t>Parrish Hill Farm and Whodat Racing LLC</t>
  </si>
  <si>
    <t>Parrish Hill Farm and Patricia L. Chapman</t>
  </si>
  <si>
    <t>W. S. Farish</t>
  </si>
  <si>
    <t>Mt Brilliant Farm LLC</t>
  </si>
  <si>
    <t>Nursery Place and Robert Manfusco</t>
  </si>
  <si>
    <t>Best Magnolia</t>
  </si>
  <si>
    <t>Akindale Farm LLC</t>
  </si>
  <si>
    <t>LA - New Orleans</t>
  </si>
  <si>
    <t>Runnymede Farm, Inc.</t>
  </si>
  <si>
    <t>Takae Bokujyo</t>
  </si>
  <si>
    <t>Knight Prospector</t>
  </si>
  <si>
    <t>Green Lantern Stables LLC</t>
  </si>
  <si>
    <t>Classical Tune</t>
  </si>
  <si>
    <t>Din's Dancer</t>
  </si>
  <si>
    <t>Atticus Lady</t>
  </si>
  <si>
    <t>Philly Gal</t>
  </si>
  <si>
    <t>Doneraile Court</t>
  </si>
  <si>
    <t>Title Hope</t>
  </si>
  <si>
    <t>Winning Time</t>
  </si>
  <si>
    <t>Takeshi Fujita</t>
  </si>
  <si>
    <t>Northwest Farms LLC and B. D. Gibbs Farm LLC</t>
  </si>
  <si>
    <t>Sun Valley Farm</t>
  </si>
  <si>
    <t>Royal B. Kraft Sr.</t>
  </si>
  <si>
    <t>Sun Valley Farm and Three Chimneys Farm LLC</t>
  </si>
  <si>
    <t>Andy and Troy Beadnell</t>
  </si>
  <si>
    <t>Three Chimneys Farm LLC and Trust B U/T Albert G. Clay Restated Rev.</t>
  </si>
  <si>
    <t>Buckingham Farm</t>
  </si>
  <si>
    <t>Candy Meadows LLC</t>
  </si>
  <si>
    <t>Royal Pegasus LLC</t>
  </si>
  <si>
    <t>Smarty's Sunshine</t>
  </si>
  <si>
    <t>Smarter Half</t>
  </si>
  <si>
    <t>Broodmare, in foal to Smarty Jones, bought by Bob Walton for $2,700 at the 2010 Keeneland November Breeding Stock Sale.</t>
  </si>
  <si>
    <t>Wodian</t>
  </si>
  <si>
    <t>Broodmare sold to Blackstone Farm for $22,000 the 2009 Keeneland November Breeding Stock Sale. // Broodmare serviced by Smarty Jones on May 23.</t>
  </si>
  <si>
    <t>Broodmare sold for $11,000 to Anon Kiatkhajonklai at the 2009 Keeneland November Breeding Stock Sale. // Broodmare serviced by Smarty Jones on April 18.</t>
  </si>
  <si>
    <t>Trabajadora</t>
  </si>
  <si>
    <t>Anet</t>
  </si>
  <si>
    <t>Dennis A. Drazin</t>
  </si>
  <si>
    <t>Call Me Jones</t>
  </si>
  <si>
    <t>Grimes Mill Farm and Darley</t>
  </si>
  <si>
    <t>Broodmare sold for $15,500 to Herman Heinlen at the 2009 Keeneland November Breeding Stock Sale. // Broodmare serviced by Smarty Jones on March 25.</t>
  </si>
  <si>
    <t>Broodmare, in foal to Smarty Jones, sold to Vent View for $12,000 at the 2010 Keeneland November Breeding Stock Sale.</t>
  </si>
  <si>
    <t>Joribe</t>
  </si>
  <si>
    <t>Peppy Priscilla</t>
  </si>
  <si>
    <t>Latin American</t>
  </si>
  <si>
    <t>Bought by Driver Bloodstock for $10,000 at the 2010 Keeneland November Breeding Stock Sale. In foal to Tiz Wonderful. // Retired to breeding in 2010. // Offered at the 2008 Keeneland September Yearling Sale, consigned by Gracefield. Reserve not attained. // Must Be A Lady was bred to Smarty Jones in back-to-back years. In February 2007, she foaled a 2006 filly by Smarty Jones.</t>
  </si>
  <si>
    <t>OH - Columbus</t>
  </si>
  <si>
    <t>ML odds</t>
  </si>
  <si>
    <t>horse, ch. (NY)</t>
  </si>
  <si>
    <t>horse, b. (JPN)</t>
  </si>
  <si>
    <t>horse, ch. (FL)</t>
  </si>
  <si>
    <t>Mike Pegram</t>
  </si>
  <si>
    <t>Smarty Smarty</t>
  </si>
  <si>
    <t>Program Thoroughbreds LLC</t>
  </si>
  <si>
    <t>Panama</t>
  </si>
  <si>
    <t>CA - Albany</t>
  </si>
  <si>
    <t>horse, ch. (KY)</t>
  </si>
  <si>
    <t>horse, gr./r. (FL)</t>
  </si>
  <si>
    <t>horse, b. (KY)</t>
  </si>
  <si>
    <t>Singapore</t>
  </si>
  <si>
    <t>FL - Hallendale</t>
    <phoneticPr fontId="2" type="noConversion"/>
  </si>
  <si>
    <t>Retired from racing to Third Charm Training Center in NC and trained as a jumper/hunter. He was a winner in his first competititon in September 2010. // Bought by Donald L. Brown Jr. for $3,000 at the 2008 Fasig-Tipton Eastern Fall Yearling Sale. // Kew Garden is a half-sister to Contrive, the dam of Folkore, and the dam herself of stakes winner Queens Plaza (by Forestry).</t>
  </si>
  <si>
    <t>Prince Mohd. Bin Saud Al-Kabeer Sons</t>
  </si>
  <si>
    <t xml:space="preserve">Smarty Moonhak </t>
  </si>
  <si>
    <t>Stevie Jones</t>
  </si>
  <si>
    <t>Smart Code</t>
  </si>
  <si>
    <t>Bought by Stud TNT for $57,000 at the Keeneland 2011 January Horses of All Ages Sale, as a broodmare prospect. // Foal imported from Brazil. // Sweet Eternity is a Brazilian champion and out of a G1 winner and it looks like is full to two other G1 winners and half to another. This filly was born in Brazil. The broodmare sire, Effervescing, is from the same Striking branch of the La Troienne family as Smarty.</t>
  </si>
  <si>
    <t xml:space="preserve">Smarty Aya </t>
  </si>
  <si>
    <t>Antique Auction (CAN)</t>
  </si>
  <si>
    <t>Incredibly Smart</t>
  </si>
  <si>
    <t>Torac</t>
  </si>
  <si>
    <t>30/35</t>
  </si>
  <si>
    <t>Geiger Counter</t>
  </si>
  <si>
    <t>Smarty B</t>
  </si>
  <si>
    <t>Tug of War</t>
  </si>
  <si>
    <t xml:space="preserve">Nikkis Smartypants </t>
  </si>
  <si>
    <t xml:space="preserve">Inflate My Ego </t>
  </si>
  <si>
    <t xml:space="preserve">Reliable Ema </t>
  </si>
  <si>
    <t>Fundsalo Jones</t>
  </si>
  <si>
    <t>Irish Smarty</t>
  </si>
  <si>
    <t>Irish-Three Racing</t>
  </si>
  <si>
    <t>Dinner to Boot</t>
  </si>
  <si>
    <t>Cash Finance</t>
  </si>
  <si>
    <t>Almoar Rekh</t>
  </si>
  <si>
    <t>Smart and True</t>
  </si>
  <si>
    <t>Botanica</t>
  </si>
  <si>
    <t>Storm Boot</t>
  </si>
  <si>
    <t>Baby Doll</t>
  </si>
  <si>
    <t>Doll Baby</t>
  </si>
  <si>
    <t>Citidancer</t>
  </si>
  <si>
    <t>Edward Seltzer and David Cassidy</t>
  </si>
  <si>
    <t>NY - New York</t>
    <phoneticPr fontId="2" type="noConversion"/>
  </si>
  <si>
    <t>Hawkeye Jimmie</t>
  </si>
  <si>
    <t>Bought by Lisa Lewis (for William Schettine) for $32,000 at the 2011 Fasig-Tipton Midlantic Two-Year-Olds in Training Sale. // Bought by Eisaman Equine for $60,000 at the 2010 Keeneland September Yearling Sale</t>
  </si>
  <si>
    <t>S Moon</t>
  </si>
  <si>
    <t>NY - New York</t>
    <phoneticPr fontId="2" type="noConversion"/>
  </si>
  <si>
    <t>Unnamed</t>
  </si>
  <si>
    <t>VA - Crozet</t>
  </si>
  <si>
    <t>Smarty Julips</t>
  </si>
  <si>
    <t>According to trainer Chuck Simon, Lady Thief was retired and waiting to be bred in the 2012 season. // Bought back by Three Chimneys Farm, Agent, for $30,000 at the 2008 Keeneland November Breeding Stock Sale.</t>
  </si>
  <si>
    <t>Monitcule</t>
    <phoneticPr fontId="4" type="noConversion"/>
  </si>
  <si>
    <t>Kathleen A. White DVM</t>
    <phoneticPr fontId="4" type="noConversion"/>
  </si>
  <si>
    <t>Smarty Party</t>
  </si>
  <si>
    <t>Cary Street</t>
  </si>
  <si>
    <t>John C. Oxley</t>
    <phoneticPr fontId="4" type="noConversion"/>
  </si>
  <si>
    <t xml:space="preserve">Exported to Korea. // Sold to S.R.O.A (KOID) for $18,000 at the 2010 OBS Spring Sale of Two-Year-Olds in Training. // </t>
  </si>
  <si>
    <t>Korea</t>
  </si>
  <si>
    <t>Nicholas</t>
    <phoneticPr fontId="4" type="noConversion"/>
  </si>
  <si>
    <t>Deputy Minister</t>
    <phoneticPr fontId="4" type="noConversion"/>
  </si>
  <si>
    <t>Equality</t>
    <phoneticPr fontId="4" type="noConversion"/>
  </si>
  <si>
    <t>Storm Bird</t>
    <phoneticPr fontId="4" type="noConversion"/>
  </si>
  <si>
    <t>Kanetoshi Concise</t>
  </si>
  <si>
    <t>Bird to the Wire</t>
    <phoneticPr fontId="4" type="noConversion"/>
  </si>
  <si>
    <t>Equity Fund</t>
    <phoneticPr fontId="4" type="noConversion"/>
  </si>
  <si>
    <t>Icanseeyounow</t>
    <phoneticPr fontId="4" type="noConversion"/>
  </si>
  <si>
    <t>Ina Nic of Time</t>
    <phoneticPr fontId="4" type="noConversion"/>
  </si>
  <si>
    <t>Patricia L. Chapman &amp; DNAce Thoroughbreds, LTD.</t>
    <phoneticPr fontId="4" type="noConversion"/>
  </si>
  <si>
    <t>W. S. Farish</t>
    <phoneticPr fontId="4" type="noConversion"/>
  </si>
  <si>
    <t>Number of starters</t>
  </si>
  <si>
    <t>Double J H Stable, Inc.</t>
    <phoneticPr fontId="4" type="noConversion"/>
  </si>
  <si>
    <t>Monticule</t>
    <phoneticPr fontId="4" type="noConversion"/>
  </si>
  <si>
    <t>Spark of Magic</t>
    <phoneticPr fontId="4" type="noConversion"/>
  </si>
  <si>
    <t>Star Wisper</t>
    <phoneticPr fontId="4" type="noConversion"/>
  </si>
  <si>
    <t>Horse Chestnut</t>
    <phoneticPr fontId="4" type="noConversion"/>
  </si>
  <si>
    <t>Yam</t>
    <phoneticPr fontId="4" type="noConversion"/>
  </si>
  <si>
    <t>Mein Love</t>
    <phoneticPr fontId="4" type="noConversion"/>
  </si>
  <si>
    <t>Promising</t>
    <phoneticPr fontId="4" type="noConversion"/>
  </si>
  <si>
    <t>Not for Love</t>
    <phoneticPr fontId="4" type="noConversion"/>
  </si>
  <si>
    <t>Smarty Moonhak</t>
  </si>
  <si>
    <t>Pine Bluff</t>
    <phoneticPr fontId="4" type="noConversion"/>
  </si>
  <si>
    <t>Thomas F Hudgins II &amp; APT Enterprises, LLLP</t>
    <phoneticPr fontId="4" type="noConversion"/>
  </si>
  <si>
    <t>Trained by Richard Mandella as of June, 2011. // Corrazona is a G1 winner herself and half to G1 winner, Thirty Six Red. She's also the dam of Olmodavor and a few other stakes winners.</t>
  </si>
  <si>
    <t>Irish Tower</t>
    <phoneticPr fontId="4" type="noConversion"/>
  </si>
  <si>
    <t>Number of winners</t>
  </si>
  <si>
    <t>Percent winners</t>
  </si>
  <si>
    <t>Winner</t>
  </si>
  <si>
    <t xml:space="preserve">Lil Miss Jones </t>
  </si>
  <si>
    <t>Died - 2010</t>
  </si>
  <si>
    <t>Died - 2011</t>
  </si>
  <si>
    <t>Died - 2008</t>
  </si>
  <si>
    <t>Died - 2009</t>
  </si>
  <si>
    <t>Died - 2006</t>
  </si>
  <si>
    <t>Died - 2007</t>
  </si>
  <si>
    <t>Along Moment</t>
  </si>
  <si>
    <t>Retired after injury on July 9. // As of July 26: adopted by someone named Brittany, who plans to train him in dressage at Countryside Farm. The person at CF tells Dorothy that they love Trans, he has a great personality, is beautiful and if Brittany ever decides that she can't keep him, Tammy will find him another home.</t>
  </si>
  <si>
    <t>ridgling, b. (KY)</t>
  </si>
  <si>
    <t>Retired - 2010</t>
  </si>
  <si>
    <t>Retired - 2008</t>
  </si>
  <si>
    <t>Retired - 2009</t>
  </si>
  <si>
    <t>Retired - 2011</t>
  </si>
  <si>
    <t>TX - Tyler</t>
  </si>
  <si>
    <t>Better Life</t>
  </si>
  <si>
    <t>Brazil</t>
    <phoneticPr fontId="2" type="noConversion"/>
  </si>
  <si>
    <t>Retired - 2010</t>
    <phoneticPr fontId="2" type="noConversion"/>
  </si>
  <si>
    <t>Brass Ring</t>
    <phoneticPr fontId="4" type="noConversion"/>
  </si>
  <si>
    <t>Retired to Mid-Atlantic Horse Rescue in March 2011. // Bought by Ben Glass, Agent for $150,000 at 2007 Keeneland September Yearling Sale, consigned by Lane's End. // This is a "good sized, nice foal." (Shawnee Farm manager Pete Cline) // Fircroft was a stakes winner of $262,276 and ran second in the CCA Oaks-G1.</t>
  </si>
  <si>
    <t>Smart N Dreamy</t>
  </si>
  <si>
    <t>RNA at $9,000 at the 2011 Keeneland September Yearling Sale.</t>
  </si>
  <si>
    <t>Philly Gal</t>
    <phoneticPr fontId="4" type="noConversion"/>
  </si>
  <si>
    <t>Appears in the Stud TNT list of broodmares and not in training. // The name, in Portuguese, translates to Big Hit. // Brazilian G1 winner, New Regina, is a half-sister to a G1 winning colt and some other stakes horses and her dam is a half-sister to Einstein.</t>
  </si>
  <si>
    <t>Pioneering</t>
    <phoneticPr fontId="4" type="noConversion"/>
  </si>
  <si>
    <t>Heff</t>
  </si>
  <si>
    <t>Lost foal in 2011</t>
  </si>
  <si>
    <t>Brazil</t>
    <phoneticPr fontId="2" type="noConversion"/>
  </si>
  <si>
    <t>Chrusciki</t>
  </si>
  <si>
    <t>Amanda</t>
  </si>
  <si>
    <t>Monarchos</t>
    <phoneticPr fontId="4" type="noConversion"/>
  </si>
  <si>
    <t>AZ - Phoenix</t>
    <phoneticPr fontId="2" type="noConversion"/>
  </si>
  <si>
    <t>J Navarro</t>
  </si>
  <si>
    <t>Venezuela</t>
  </si>
  <si>
    <t>Florida</t>
  </si>
  <si>
    <t>Blumin Exuberant</t>
  </si>
  <si>
    <t>Retired in November 2011 to stand at Vinery FLorida for $3,500 fee. // On July 3, 2009, Backtalk became the first Smarty foal to win a graded stakes in the US by winning the Grade 3 Bashford Manor Stakes. // Debut winner on June 11, 2009. // On 21-Mar-09, Backtalk (unnamed at the time) became the first 2007 Smarty foal to work in public. // Bought by Todd Quast, Agent for Goldmark for $250,000 at the 2008 Keeneland September Yearling Sale, consigned by Taylor Made Sales Agency, Agent. // This filly reared, fell, then broke loose from her handler while under review at the 2008 Keeneland September Yearling Sale. She was caught and returned to her stall with no apparent injury. // Apasionata Sonata is a stakes winning daughter of Affirmed</t>
    <phoneticPr fontId="2" type="noConversion"/>
  </si>
  <si>
    <t xml:space="preserve">Bought by Sekei Corporation for $6,000 at the Keeneland November Sale. </t>
  </si>
  <si>
    <t>No Small Dreams</t>
  </si>
  <si>
    <t>Brahms</t>
  </si>
  <si>
    <t>Bought by Clear Stars Stable for $20,000 at the Fasig-Tipton 2010 Saratoga NY-Bred Preferred Yearlings Sale. // Broodmare Day Bird was bought by Hidden Lake Farm LLC for $15,000 at the 2008 Keeneland November Breeding Stock Sale, mated to Smarty Jones, last service March 15, 2008 (believed to be PREGNANT).</t>
  </si>
  <si>
    <t>Broodmare sold for $1,700 to Harold Shotwell at the 2011 Fasig-Tipton Midlantic Sale.</t>
  </si>
  <si>
    <t>Broodmare sold for $5,000 to Roger C. Mattei at the 2011 Fasig-Tipton Midlantic Sale.</t>
  </si>
  <si>
    <t>Broodmare was offered at the 2011 Fasig-Tipton Midlantic Sale, but did not sell (RNA at $2,000).</t>
  </si>
  <si>
    <t>Dollar Store</t>
  </si>
  <si>
    <t>Blumin Affair</t>
  </si>
  <si>
    <t>mare, b. (JPN)</t>
  </si>
  <si>
    <t>filly, ch. (KY)</t>
    <phoneticPr fontId="2" type="noConversion"/>
  </si>
  <si>
    <t>colt, ch. (KY)</t>
    <phoneticPr fontId="2" type="noConversion"/>
  </si>
  <si>
    <t>colt, ch. (KY)</t>
    <phoneticPr fontId="2" type="noConversion"/>
  </si>
  <si>
    <t>filly, ch. (KY)</t>
    <phoneticPr fontId="2" type="noConversion"/>
  </si>
  <si>
    <t>filly (LA)</t>
    <phoneticPr fontId="2" type="noConversion"/>
  </si>
  <si>
    <t>colt</t>
    <phoneticPr fontId="2" type="noConversion"/>
  </si>
  <si>
    <t>colt, b. (FL)</t>
    <phoneticPr fontId="2" type="noConversion"/>
  </si>
  <si>
    <t>Saudi Arabia</t>
    <phoneticPr fontId="2" type="noConversion"/>
  </si>
  <si>
    <t>mare, dk b./br.</t>
  </si>
  <si>
    <t>On December 31, 2011: "Stevie Jones, when the son of Smarty Jones had to be euthanized after breaking down approaching the wire at the end of a five-furlong workout." // Removed from the 2011 OBS April Sale of 2YOs in Training. // Bought by Kenneth L. and Sarah K. Ramsey at the 2010 Keeneland September Yearling Sale</t>
    <phoneticPr fontId="2" type="noConversion"/>
  </si>
  <si>
    <t>Died - 2011</t>
    <phoneticPr fontId="2" type="noConversion"/>
  </si>
  <si>
    <t>Died - 2009</t>
    <phoneticPr fontId="2" type="noConversion"/>
  </si>
  <si>
    <t>horse, dk. b./br. (KY)</t>
  </si>
  <si>
    <t>horse, dk. b./br. (OH)</t>
  </si>
  <si>
    <t>horse, dk. b./br. (MD)</t>
  </si>
  <si>
    <t>mare (MD)</t>
  </si>
  <si>
    <t>mare, ch. (MD)</t>
  </si>
  <si>
    <t>mare, ch. (CA)</t>
  </si>
  <si>
    <t>mare, ch. (BRZ)</t>
  </si>
  <si>
    <t>mare, gr. (FL)</t>
  </si>
  <si>
    <t>filly, b. (KY)</t>
    <phoneticPr fontId="2" type="noConversion"/>
  </si>
  <si>
    <t>gelding, ch. (FL)</t>
    <phoneticPr fontId="2" type="noConversion"/>
  </si>
  <si>
    <t>In 2007, Smarty Jones was bred to 111 mares and produced 84 foals.</t>
    <phoneticPr fontId="2" type="noConversion"/>
  </si>
  <si>
    <t>Died - 2009</t>
    <phoneticPr fontId="2" type="noConversion"/>
  </si>
  <si>
    <t>70 Total Foals in 2009</t>
    <phoneticPr fontId="2" type="noConversion"/>
  </si>
  <si>
    <t>Personal Flag</t>
    <phoneticPr fontId="4" type="noConversion"/>
  </si>
  <si>
    <t>Bought by Andy Beadnell for $10,000 at the 2012 OBS Winter Mixed Sale. Believed to be in foal to Awesome Of Course. // Bought by Journeyman Bloodstock Services, Inc. for $8,000 at the 2010 Keeneland November Breeding Stock Sale. // Debut winner on March 13, 2010. // Trained by Mike Maker, as of October 2009, // Bought by Twin Creeks Racing Stables LLC for $150,000 at the 2008 Keeneland September Yearling Sale, consigned by Hill 'n' Dale Sales Agency, Agent. TCRS is a Kentucky-based racing operation whose horses are trained by Todd Pletcher. // Rhiana is a multiple graded stakes placed winner of over $280K. This filly is a half-sister to Behindatthebar.</t>
    <phoneticPr fontId="2" type="noConversion"/>
  </si>
  <si>
    <t>Service Stripe</t>
    <phoneticPr fontId="4" type="noConversion"/>
  </si>
  <si>
    <t>Crackerjack Jones</t>
  </si>
  <si>
    <t>Cartoon Fay Fay</t>
  </si>
  <si>
    <t>Trendy Wendy</t>
  </si>
  <si>
    <t xml:space="preserve">Reported dead. Did deliver the Bertrando foal, but died sometime afterwards. //  Bred to Bertrando in 2010. // Retired to breeding in 2010. // Bought by Tom Grether Farms for $125,000 at 2007 Keeneland September Yearling Sale, consigned by Taylor Made Sales Agency (agent for Stonestreet Thoroughbred Holdings LLC). </t>
  </si>
  <si>
    <t>Oneofsmarty'sgirls</t>
  </si>
  <si>
    <t>Multiple names submitted on 1/31 (Ups and Downs, and Run for Mummy). // Bought by Raut, LLC for $1,300 at the 2010 Keeneland November Breeding Stock Sale.</t>
  </si>
  <si>
    <t>Run for Mummy</t>
  </si>
  <si>
    <t>Clever</t>
  </si>
  <si>
    <t>Was offered but not sold (high bid of $1,000) at the 2012 Fasig-Tipton Kentucky Winter Mixed Sale, as a broodmare (not pregnant). // Bought by Dixiana Farm LLC for $8,000 at the 2010 Keeneland November Breeding Stock Sale. In foal to Bernstein. // Retired to breeding in 2010. // "Very nice filly, she's filling out nicely and she's a pretty correct filly, too" says Dixiana Farm. // Bred by Dixiana Farm; owned by Dixiana Stables.</t>
  </si>
  <si>
    <t>Form the Future</t>
  </si>
  <si>
    <t>Granny's Tale</t>
  </si>
  <si>
    <t>Reineman Stable, LLC</t>
  </si>
  <si>
    <t>Anon Kiatkhajonklai (THA)</t>
  </si>
  <si>
    <t>Thailand</t>
  </si>
  <si>
    <t>Haras Norte Sur</t>
  </si>
  <si>
    <t>In 2009, Smarty Jones was bred to 46 mares and produced 43 foals.</t>
  </si>
  <si>
    <t>Mare exported to Venezuela and delivered a "dead foal" according to records at Haras Norte Sur. // Tomorrow's Destiny (in foal to Smarty Jones) was bought for $125,000 by Bruce Snipes at the 2006 Keeneland November Breeding Stock Sale.</t>
  </si>
  <si>
    <t xml:space="preserve">Bred to Got the Goods, a son of Pulpit, standing in LA. // Bought by Richard Hessee for $2,000 at the 2009 Keeneland September Yearlings Sale. </t>
  </si>
  <si>
    <t>filly (PA)</t>
  </si>
  <si>
    <t>HnR Nothhaft Horseracing, LLC</t>
  </si>
  <si>
    <t>Expletive</t>
  </si>
  <si>
    <t>Grousemont Farm</t>
  </si>
  <si>
    <t>M Smart</t>
  </si>
  <si>
    <t>Retired - 2012</t>
  </si>
  <si>
    <t>Rose Colored Lady</t>
  </si>
  <si>
    <t>Nancy reports: Fort William was in Dallas Keen's barn when he was injured, and Donna Keen (wife of . . .) runs Remember Me Rescue. So that is our Fort William in their hands. He has not been officially adopted yet, but Donna has promised me photos and more info when it happens! She says he is seriously cute, and seriously sweet! // Pulled up and vanned off after a race on 10/22/11. // Trained by Mike Mitchell, as of January 2011. // Bought for $35,000 by Little Red Feather at the 2010 OBS Spring Sale of Two-Year-Olds in Training. // Bought by Margie Webb for $7,000 at the 2009 Keeneland January Horses of All Ages Sale. // Removed from the 2008 Keeneland November Breeding Stock Sale.</t>
  </si>
  <si>
    <t>Randie's Legend</t>
  </si>
  <si>
    <t>Benchmark</t>
  </si>
  <si>
    <t>Dash</t>
  </si>
  <si>
    <t>Seasonsoftheheart</t>
  </si>
  <si>
    <t>Inactive One Year or More (sorted by date of last activity, oldest to newest)</t>
  </si>
  <si>
    <t>Inactive Two Years or More (sorted by date of last activity, oldest to newest)</t>
  </si>
  <si>
    <t>Inactive Six Months or More (sorted by date of last activity, oldest to newest)</t>
  </si>
  <si>
    <t>Inactive Two Months or More (sorted by date of last activity, oldest to newest)</t>
  </si>
  <si>
    <t>OH - Beulah</t>
  </si>
  <si>
    <t>Purchased by Conrad Allen for US$36,733 (28,000 euros) at the 2012 Goff's February Sale. // Offered at the Tattersalls 2011 December Sale, but did not sell (RNA at 19,000 guineas, or US31,156). // Foaled a filly in 2011 by Geri (Theatrical - Garimperio) at Eugenia Farms in Ireland. // Exported to Italy. // Offered at 2007 Keeneland September Yearling Sale, consigned by James B. Keogh/Grovendale. Reserve not attained. // Bought for $55,000 by Navrick Ital-Cal at the 2007 Fasig-Tipton Kentucky Fall Yearlings Sale, consigned by Paramount Sales, Agent. // Outlasting (in foal to Smarty Jones) was bought for $150,000 by Cherokee Equine International at the 2005 Keeneland November Breeding Stock Sale. // Entry at Pedigree Query website showed the filly was named "Cerberal in Seattle" in October 2007, but the entry was withdrawn. // Both sire and dam are from the La Troienne line.</t>
  </si>
  <si>
    <t>Roi Normand</t>
  </si>
  <si>
    <t>Took bad step in race on March 18, 2012; pulled up before wire and was vanned off. Report: slab fracture left knee. // Bought by Castletop Stable for $150,000 at the 2008 Kentucky July Yearlings Sale, consigned by Dapple Stud. // Merrill Gold (in foal to Smarty Jones) was bought for $180,000 by Dapple Bloodstock at the 2006 Keeneland November Breeding Stock Sale.</t>
  </si>
  <si>
    <t>Retired to begin a breeding career according to reports in March 2012. // Bought privately by Gerry Blazejewski in March 2012. // Removed from the 2010 Keeneland November Breeding Stock Sale. // Keefer returned to the workout tab in April 2009, nearly eight months after sustaining an injury in his debut win. // Keefer was nominated to the 2009 Triple Crown. // According to Sobhy Sonbol, Zayat Stables Racing Manager: "Keefer chipped his ankle after his maiden win this summer and he had surgery and he has started back training. Expect to see him back in the Fair Grounds meet when he is ready. He is a very nice horse though. In addition to his talent he is a very good minded, very smart and a really nice horse to be around. We expect him to have a big future." //  Debut winner in July 2008. // Bought by Zayat Stables for $60,000 at 2007 Keeneland September Yearling Sale, consigned by Paramount Sales. // Shootforthestars was unraced, but she has produced 3 winners including the stakes-placed Golden Rainbow who has earned $248,610 through 2008. Golden Rainbow was never off the board in 6 starts as a 2-year old. // Bred by Swettenham Stud.</t>
  </si>
  <si>
    <t xml:space="preserve">Retired in 2011 and now standing stud somewhere, according to this ad... http://www.equinenow.com/horse-ad-o2965638261 // Bought by Pelican LLC for $80,000 at the 2009 Keeneland September Yearlings Sale. </t>
  </si>
  <si>
    <t>Daahiya</t>
  </si>
  <si>
    <t>Saudia Arabia</t>
  </si>
  <si>
    <t>Died - 2012</t>
  </si>
  <si>
    <t>Smarty Stone</t>
  </si>
  <si>
    <t>Smarty Maddy</t>
  </si>
  <si>
    <t>Juan J. Juan &amp; Dr Mary L Jacko</t>
  </si>
  <si>
    <t>Reserved early, made bid going wide on turn, finished evenly</t>
  </si>
  <si>
    <t>Will Rogers Downs</t>
  </si>
  <si>
    <t>O Pereira</t>
  </si>
  <si>
    <t>Stalked, had no rally; just missed 5th by a nose</t>
  </si>
  <si>
    <t>14/37</t>
  </si>
  <si>
    <t>Stalked, ranged up outisde of the leaders on the turn, came widest on the turn, dueled in stretch and couldn't catch winner. Claimed by trainer Tom Amoss and owner Maggi Moss.</t>
  </si>
  <si>
    <t>Keeneland Racecourse</t>
  </si>
  <si>
    <t>Toyota Blue Grass (G1) 3YO</t>
  </si>
  <si>
    <t xml:space="preserve">Set the pace right from the gate, had five length lead on the backstretch, challenged down the stretch, but held on </t>
  </si>
  <si>
    <t>Feeling My Oats</t>
    <phoneticPr fontId="4" type="noConversion"/>
  </si>
  <si>
    <t>Meghann Brown</t>
    <phoneticPr fontId="4" type="noConversion"/>
  </si>
  <si>
    <t>Flag Pin</t>
    <phoneticPr fontId="4" type="noConversion"/>
  </si>
  <si>
    <t>William Hettinger</t>
    <phoneticPr fontId="4" type="noConversion"/>
  </si>
  <si>
    <t>Little Hussy</t>
    <phoneticPr fontId="4" type="noConversion"/>
  </si>
  <si>
    <t>Dr. &amp; Mrs. Sam Pieper Jr.</t>
    <phoneticPr fontId="4" type="noConversion"/>
  </si>
  <si>
    <t>Belong to Me</t>
    <phoneticPr fontId="4" type="noConversion"/>
  </si>
  <si>
    <t>Xylonia</t>
    <phoneticPr fontId="4" type="noConversion"/>
  </si>
  <si>
    <t>Nureyev</t>
    <phoneticPr fontId="4" type="noConversion"/>
  </si>
  <si>
    <t>Moujane</t>
    <phoneticPr fontId="4" type="noConversion"/>
  </si>
  <si>
    <t>Alphabet Soup</t>
    <phoneticPr fontId="4" type="noConversion"/>
  </si>
  <si>
    <t>Jane Field</t>
    <phoneticPr fontId="4" type="noConversion"/>
  </si>
  <si>
    <t>Toogie Pine</t>
    <phoneticPr fontId="4" type="noConversion"/>
  </si>
  <si>
    <t>Brian Keith James</t>
    <phoneticPr fontId="4" type="noConversion"/>
  </si>
  <si>
    <t>Quiet American</t>
    <phoneticPr fontId="4" type="noConversion"/>
  </si>
  <si>
    <t>Foal Report, as-of 1/21/2012: 29 Foals</t>
    <phoneticPr fontId="4" type="noConversion"/>
  </si>
  <si>
    <t>Cheyne Gang</t>
    <phoneticPr fontId="4" type="noConversion"/>
  </si>
  <si>
    <t>Neshaminy</t>
    <phoneticPr fontId="4" type="noConversion"/>
  </si>
  <si>
    <t>Res Judicata</t>
    <phoneticPr fontId="4" type="noConversion"/>
  </si>
  <si>
    <t>Lolita (GER)</t>
    <phoneticPr fontId="4" type="noConversion"/>
  </si>
  <si>
    <t>Lavirco</t>
    <phoneticPr fontId="4" type="noConversion"/>
  </si>
  <si>
    <t>Arpeggio</t>
    <phoneticPr fontId="4" type="noConversion"/>
  </si>
  <si>
    <t>Dixie Brass</t>
    <phoneticPr fontId="4" type="noConversion"/>
  </si>
  <si>
    <t>Camargo</t>
    <phoneticPr fontId="4" type="noConversion"/>
  </si>
  <si>
    <t>Due Elegance</t>
    <phoneticPr fontId="4" type="noConversion"/>
  </si>
  <si>
    <t>Devil His Due</t>
    <phoneticPr fontId="4" type="noConversion"/>
  </si>
  <si>
    <t>Dynamist</t>
    <phoneticPr fontId="4" type="noConversion"/>
  </si>
  <si>
    <t>Dynaformer</t>
    <phoneticPr fontId="4" type="noConversion"/>
  </si>
  <si>
    <t>Fulmine</t>
    <phoneticPr fontId="4" type="noConversion"/>
  </si>
  <si>
    <t>Dayjur</t>
    <phoneticPr fontId="4" type="noConversion"/>
  </si>
  <si>
    <t>Lady Cheyne</t>
    <phoneticPr fontId="4" type="noConversion"/>
  </si>
  <si>
    <t>Affirmed</t>
    <phoneticPr fontId="4" type="noConversion"/>
  </si>
  <si>
    <t>Last Toots</t>
    <phoneticPr fontId="4" type="noConversion"/>
  </si>
  <si>
    <t>Concern</t>
    <phoneticPr fontId="4" type="noConversion"/>
  </si>
  <si>
    <t>Mohonour</t>
    <phoneticPr fontId="4" type="noConversion"/>
  </si>
  <si>
    <t>Honour and Glory</t>
    <phoneticPr fontId="4" type="noConversion"/>
  </si>
  <si>
    <t>Doneraile Court</t>
    <phoneticPr fontId="4" type="noConversion"/>
  </si>
  <si>
    <t>Return Flight</t>
    <phoneticPr fontId="4" type="noConversion"/>
  </si>
  <si>
    <t>Limit to Reason</t>
    <phoneticPr fontId="4" type="noConversion"/>
  </si>
  <si>
    <t>Sweeping Return</t>
    <phoneticPr fontId="4" type="noConversion"/>
  </si>
  <si>
    <t>Sprinkles Rodeogal</t>
    <phoneticPr fontId="4" type="noConversion"/>
  </si>
  <si>
    <t>Came up lame after four days of galloping; was euthanized in his stall on December 21. // Ricoriatoa is half-brother to Thiskyhasnolimit, a Sky Mesa colt, who ran a strong second to Backtalk in their debut race, and then came back on July 4 and romped in the slop at CD. These were Lovely Regina's first 2 foals. // Ricoriatoa was in a 5-furlong exhibition race on Sept. 27, 2008 at Turfway Park, featuring graduates and second-year students of the North American Riding Academy. The field of nine horses were a mix of colts and fillies, 2- and 3-year-olds, raced and unraced. Rico came in third under student rider Anna Roberts. // Three Chimneys broodmare manager Tony Burton describes him as, "Nice. He's good size, especially for a first foal, he has good bone and he has a particularly pretty head." // Lovely Regina, a half-sister to Bernardini, was bought for $2 million at the 2006 Keeneland November Breeding Stock Sale while in foal to AP Indy). // Bred and owned by Stud TNT (Gonzalo Torrealba).</t>
  </si>
  <si>
    <t>gelding, dkb./b. (KY)</t>
  </si>
  <si>
    <t>Genuine Jones</t>
  </si>
  <si>
    <t>Germany</t>
  </si>
  <si>
    <t>colt (MD)</t>
  </si>
  <si>
    <t>Nancy Lee Farms</t>
  </si>
  <si>
    <t>Smarty's Legend</t>
  </si>
  <si>
    <t>gelding, ch. (MD)</t>
  </si>
  <si>
    <t>Marcia Heylin</t>
  </si>
  <si>
    <t>Richard Hessee</t>
  </si>
  <si>
    <t>NJ - Westhampton</t>
  </si>
  <si>
    <t>Queenlike</t>
  </si>
  <si>
    <t xml:space="preserve">Charles C. D. McGill </t>
  </si>
  <si>
    <t xml:space="preserve">Randy P. Brungard &amp; Nikki Brungard </t>
  </si>
  <si>
    <t>Anthony Merlino</t>
  </si>
  <si>
    <t>NY - Saratoga</t>
  </si>
  <si>
    <t>PA - Erie</t>
  </si>
  <si>
    <t>Overall Win %</t>
  </si>
  <si>
    <t>Millionzofbillionz</t>
  </si>
  <si>
    <t>Stellar Mission</t>
  </si>
  <si>
    <t>Tammie Stark and Ghost Ridge Farm</t>
  </si>
  <si>
    <t>Getting Gold</t>
  </si>
  <si>
    <t>Ordinary Housewife</t>
  </si>
  <si>
    <t>Had a colt by Mass Media on February 28, 2012. // Second Glance changed ownership in January 2009 to L and D Farm. // Entered in the 2009 Keeneland January Horses of All Ages Sale, but withdrawn after winning January 3. // As of July 2008, she is trained by Timothy Salzman in Maryland. // Withdrawn from the Keeneland April 2008 Sale of 2YO in Training, consigned by Wavertree Stables, Inc. (Ciaran Dunne), Agent. // Offered at 2007 Keeneland September Yearling Sale, consigned by Taylor Made Sales Agency. Withdrawn from sale. // Owned and bred by Cloverleaf Farm.</t>
  </si>
  <si>
    <t>Pewter Stable</t>
  </si>
  <si>
    <t>Formerly, Sally Lightfoot--the name was changed to Ordinary Housewife in April 2012. // Bought by Edmund Gaudet for $6,500 at the 2011 Fasig-Tipton Eastern Fall Yearling Sale.</t>
  </si>
  <si>
    <t>Bersagliere</t>
  </si>
  <si>
    <t>Yet to show activity</t>
  </si>
  <si>
    <t>Thomas McClay</t>
  </si>
  <si>
    <t>Bikini Atoll</t>
  </si>
  <si>
    <t>Foal reported by local newspaper.</t>
  </si>
  <si>
    <t>J. L.'s Princess</t>
  </si>
  <si>
    <t>Red Crusader</t>
  </si>
  <si>
    <t>Maple Leaf Farm</t>
  </si>
  <si>
    <t xml:space="preserve">Richard H. Bosshard Jr. </t>
  </si>
  <si>
    <t xml:space="preserve">Dr. Ronald Harris Parker </t>
  </si>
  <si>
    <t>Owner submitted name request (Smarty Loves Me) and then cancelled request.</t>
  </si>
  <si>
    <t>Canterbury</t>
  </si>
  <si>
    <t>* need to add to Virtual Stable</t>
  </si>
  <si>
    <t>Key Moment</t>
  </si>
  <si>
    <t>Owned by Tokyo Horse Racing Co. Ltd and trained by Mikio Matsunaga</t>
  </si>
  <si>
    <t>Speak Sweet</t>
  </si>
  <si>
    <t>Waquoit</t>
  </si>
  <si>
    <t>Susan E. Bare</t>
  </si>
  <si>
    <t>Smarty Incheon</t>
  </si>
  <si>
    <t>gelding, gr./r. (PA)</t>
  </si>
  <si>
    <t xml:space="preserve">Had foal by Widcat Heir in 2011, and a foal by Revere in 2012. // Offered at the 2010 OBS Fall Mixed Sale. In foal to Wildcat Heir. Not sold ($17,000 high bid). // Offered at the 2009 OBS Fall Mixed Sale, in foal to Rock Hard Ten -- did not sell (high bid: $26,000).  //  Retired to breeding in 2009. In foal to Rock Hard Ten for the 2010 season. // Offered at the OBS June 2YO and Horses of Racing Age Sale, consigned by Journeyman Bloodstock, Agent. Reserve not met. // Bought by Journeyman Bloodstock, Agent for $35,000 at 2007 Keeneland September Yearling Sale, consigned by Darby Dan Farm. // Half-sister to Peace Rules ($3,084,278, won Suburban H.-G1, Haskell Invitational H.-G1, etc.), Wild Fashion ($365,605). // Hold To Fashion (in foal to Smarty Jones) was bought for $230,000 by Jack Werk, Agent at the 2005 Keeneland November Breeding Stock Sale. </t>
  </si>
  <si>
    <t>MD - Fair Hill</t>
  </si>
  <si>
    <t>Had a colt by Minister Eric in March, 2012. // Bought by Light Pantaleon for $2,200 at the 2009 OBS Fall Mixed Sale, as a broodmare prospect.  //  Capote Jones is in training at LG Thoroughbred Racing Stable under JJ Pletcher as of May 2008. // Offered at 2007 Keeneland September Yearling Sale, consigned by Taylor Made Sales Agency. Reserve not attained. // Bought by Ferguson Valley Ranch for $250,000 at the Keeneland 2006 November Breeding Stock Sale, consigned by Three Chimneys Sales, Agent for Forging Oaks LLC. // "She's a very classy filly, tall and leggy with plenty of size," says Forging Oaks farm manager Tom Clark.</t>
  </si>
  <si>
    <t>Carl Schexnayder &amp; Harold Babineaux</t>
  </si>
  <si>
    <t>Cheoneogi</t>
  </si>
  <si>
    <t>Robert T. Manfuso and Katharine M. Voss</t>
  </si>
  <si>
    <t>Broke down in a race on June 19 and was euthanized on the track. // Clarins is a daughter of G3 winner Shell Ginger, who was bred to Smarty last year but didn't have a foal. She's from the same female family as Elusive Quality, with blue hen Natashka being the third dam of both of them, meaning that this filly has the Rasmussen Factor (is inbred to an important female) to Natashka.</t>
  </si>
  <si>
    <t>gelding, ch. (LA)</t>
  </si>
  <si>
    <t>Res Judicata</t>
  </si>
  <si>
    <t>Retired to New Vocations in Spring, 2012; adopted by Katelin Bradley, a Wisconsin high school senior/equestrian. // Owned by Dee Tee Stables in partnership with Pat Chapman. // Offered at the 2008 Keeneland September Yearling Sale, consigned by Three Chimneys Sales, Agent. Reserve not attained.</t>
  </si>
  <si>
    <t>Wisconsin</t>
  </si>
  <si>
    <t>Champion Color</t>
  </si>
  <si>
    <t>Smarty Boy</t>
  </si>
  <si>
    <t>Running on Air</t>
  </si>
  <si>
    <t>Exported to Russia. // Sold for $21,000 to Blackstone Farm at the 2011 Fasig-Tipton Kentucky Fall Yearling Sale. // Bought by Stoney Lane Farm for $7,000 at the 2010 Keeneland November Breeding Stock Sale.</t>
  </si>
  <si>
    <t>Trucker</t>
  </si>
  <si>
    <t>Encendida</t>
  </si>
  <si>
    <t>In 2012, Smarty Jones was bred to 38 mares and produced nn foals.</t>
  </si>
  <si>
    <t>Curious Jones</t>
  </si>
  <si>
    <t>LA - Opelousas</t>
  </si>
  <si>
    <t>Fair Meadows</t>
  </si>
  <si>
    <t>Hay Mr Jones</t>
  </si>
  <si>
    <t>gelding (AUS)</t>
  </si>
  <si>
    <t>Neshaminy</t>
  </si>
  <si>
    <t>Mooji Jones</t>
  </si>
  <si>
    <t>Shorty Jones</t>
  </si>
  <si>
    <t>Money Maker</t>
  </si>
  <si>
    <t>NJ - Oceanport</t>
  </si>
  <si>
    <t>Ruidoso Downs</t>
  </si>
  <si>
    <t>filly (WV)</t>
  </si>
  <si>
    <t>Ronney W. Brown</t>
  </si>
  <si>
    <t>Needed</t>
  </si>
  <si>
    <t>Note: Records and earnings confirmed, as of September 2012</t>
  </si>
  <si>
    <t xml:space="preserve">Assumed retired based on three years or more of inactivity, as of Sept. 2012. // On December 13, 2008, La Equivocada became the Smarty Jones' first stakes winner, winning the $20,000 Alsito Roig Stakes at Cameraro Race Track in Puerto Rico.  // On July 11, 2008, La Equivocada became the first Smarty Jones foal to win a race.  La Equivocada is the third winner from three starters from French group-placed Dragonada (by Nureyev). // As of June 2008, she was owned by S. Metal Stable and trained by Luis Adorno. // Bought by Jaime Rivera for $30,000 at the OBS 2008 March Selected Sale of 2YO in Training, consigned by Eddie Woods. // Bought by Bradley Thoroughbreds Brokerage, Agent for $55,000 at 2007 Keeneland September Yearling Sale, consigned by Lane's End. // Bred in Kentucky by Flaxman Holdings. Dragonada’s dam, French group winner Don’t Sulk is out of the blue hen mare Dinner Partner. </t>
  </si>
  <si>
    <t>Assumed retired based on three years or more of inactivity, as of Sept. 2012. // Offered at 2007 Fasig-Tipton November Select Mixed Sale -- reserve not attained. // Offered at 2007 Keeneland September Yearling Sale, consigned by Rockwell Sales Agency. Reserve not attained. // Maddie's Charm (in foal to Smarty Jones) was offered at the 2005 Keeneland November Breeding Stock Sale; reserve not attained.</t>
  </si>
  <si>
    <t>Assumed retired based on three years or more of inactivity, as of Sept. 2012. // Gelding as of September 2008. // Bought by RBTS, Agent, for $200,000 at 2007 Keeneland September Yearling Sale, consigned by Lane's End. // Bred by William S. Farish and George Bolton</t>
  </si>
  <si>
    <t>Assumed retired based on three years or more of inactivity, as of Sept. 2012. // Genius Jones was injured in his last race (a small hairline fracture and an eye infection caused by kickback), which required the loss of an eye. He was retired to the Long Run Thoroughbred Retirement Society in late 2009 (see: http://downthestretchnewspaper.com/3issue003/page19.html). // Owned by WinStar Farm LLC. // Bought by Maverick Racing for $230,000 at 2007 Keeneland September Yearling Sale, consigned by Gainesway. // Our Gal (in foal to Smarty Jones) was offered at the 2005 Keeneland November Breeding Stock Sale; reserve not attained. // Bred by John Oxely.</t>
  </si>
  <si>
    <t>Assumed retired based on three years or more of inactivity, as of Sept. 2012. // Removed from the 2008 Fasig-Tipton Eastern Fall Yearling Sale. // Offered at the 2008 Keeneland September Yearling Sale, consigned by Hill 'n' Dale Sales Agency, Agent. Reserve not attained. // Half-brother to Nani Rose and Illustrious Miss (and Our Wildirish Rose is half to MG1 winner Political Ambition). // Our Wild Irish Rose (in foal to Smarty Jones) was bought for $110,000 by Mike Abraham at the 2006 Keeneland November Breeding Stock Sale.</t>
  </si>
  <si>
    <t>Assumed retired based on three years or more of inactivity, as of Sept. 2012. // Bought by Gregory Szymski for $6,500 at the 2008 Fasig-Tipton Eastern Fall Yearling Sale.</t>
  </si>
  <si>
    <t xml:space="preserve">Assumed retired based on three years or more of inactivity, as of Sept. 2012. // </t>
  </si>
  <si>
    <t>Assumed retired based on three years or more of inactivity, as of Sept. 2012. // Foaled in Japan. // Domaine (in foal to Smarty Jones) was bought for $300,000 by Shadai Farm at the 2006 Keeneland November Breeding Stock Sale.</t>
  </si>
  <si>
    <t>Retired - 2007</t>
  </si>
  <si>
    <t>Retired/Deceased</t>
  </si>
  <si>
    <t>Death report posted to Jockey Club. // Bought by Cecil Seaman, Agent, for $130,000 at the 2008 Keeneland September Yearling Sale, consigned by Eaton Sales, Agent. // Bells Are Ringing had a Smarty colt last year as well. She is a half-sister to Unbridled's Song.</t>
  </si>
  <si>
    <t>Ladye Langfuhr</t>
  </si>
  <si>
    <t>Langfuhr</t>
  </si>
  <si>
    <t>She's Rosalie Jane</t>
  </si>
  <si>
    <t>Ascoli Piceno Stables, LLC</t>
  </si>
  <si>
    <t>Copper Strike</t>
  </si>
  <si>
    <t>Peteski</t>
  </si>
  <si>
    <t>James H. Falk, Sr.</t>
  </si>
  <si>
    <t>Thomas F Finacchio &amp; Caroline Rebecca Finacchio</t>
  </si>
  <si>
    <t>Sultry Katrina</t>
  </si>
  <si>
    <t>Decarchy</t>
  </si>
  <si>
    <t>Miss Quackers</t>
  </si>
  <si>
    <t>Willow Oaks Stable LLC</t>
  </si>
  <si>
    <t>Waterfront Jazz</t>
  </si>
  <si>
    <t>Jazz Club</t>
  </si>
  <si>
    <t>William E. Riddle, Jr.</t>
  </si>
  <si>
    <t>Rushing For Home</t>
  </si>
  <si>
    <t>Eddington</t>
  </si>
  <si>
    <t>Robert P. Levy</t>
  </si>
  <si>
    <t>My Sweet Heart</t>
  </si>
  <si>
    <t>You and I</t>
  </si>
  <si>
    <t>JayArDee Stables</t>
  </si>
  <si>
    <t>Essa Brilha (BRZ)</t>
  </si>
  <si>
    <t>Gary Machiz &amp; Stacy Machiz</t>
  </si>
  <si>
    <t>Flattered</t>
  </si>
  <si>
    <t>Mike Pietrangelo</t>
  </si>
  <si>
    <t>Amelia E.</t>
  </si>
  <si>
    <t>Equivine Farm</t>
  </si>
  <si>
    <t>Edger</t>
  </si>
  <si>
    <t>Swear by Dixie</t>
  </si>
  <si>
    <t>Silver Brook</t>
  </si>
  <si>
    <t>Thomas B Denham</t>
  </si>
  <si>
    <t>Canny Nanny</t>
  </si>
  <si>
    <t xml:space="preserve">Chuck Simon reports that Red Baroness was retired in September, 2012 and will be bred in the Spring 2013. // Trained by Chuck Simon, as of January 2011. // </t>
  </si>
  <si>
    <t>S-Prx, Sep-12</t>
  </si>
  <si>
    <t>Chuck Simon suggested that Lloydobler was retired in 2012. // Steve Byk reports (June 2009): "He's now in NY with Gary Sciacca and will continue to work towards a start later this summer." // Owned by Dee Tee Stables in partnership with Pat Chapman. // Offered at the 2007 Keeneland November Breeding Stock Sale, consigned by Three Chimneys Sales, Agent; reserve not attained ($75,000).</t>
  </si>
  <si>
    <t>Hippocrates Jones was sold to trainer Joes Salinas, a former assistant to Chuck Simon. HJ raced a few times under Salinas with dismal results. In September 2012, he appeared on the CANTER website for sale. //  Bought by B.E.C., Agent, for $25,000 at the 2008 Keeneland September Yearling Sale, consigned by Three Chimneys Sales, Agent. // Offered at the 2007 Keeneland November Breeding Stock Sale, consigned by Three Chimneys Sales, Agent; reserve not attained. // This colt is a half-brother to West Virginia.</t>
  </si>
  <si>
    <t>Smartylikestoparty</t>
  </si>
  <si>
    <t>Pearl of Valor</t>
  </si>
  <si>
    <t>Medaglia d'Oro</t>
  </si>
  <si>
    <t>Bought by Pewter Stable for $8,000 at the 2012 Fasig-Tipton Eastern Fall Yearlings Sale.</t>
  </si>
  <si>
    <t>Bought by Jose Samaniego for $29,000 at the 2012 Fasig-Tipton Eastern Fall Yearlings Sale.</t>
  </si>
  <si>
    <t>WV - Charles Town</t>
  </si>
  <si>
    <t>Roger Mattei</t>
  </si>
  <si>
    <t>gelding, ch. (PA)</t>
  </si>
  <si>
    <t>Agarita</t>
  </si>
  <si>
    <t>Sweet Tooth Sweety</t>
  </si>
  <si>
    <t>Retired in October 2012. According to Chuck Simon, they're not sure what's going on with her physically, so she'll be bred to NY-sire Frost Giant. // Bought back by Three Chimneys Farm, Agent, for $20,000 at the 2008 Keeneland November Breeding Stock Sale. // Screamer is the dam of El Roblar, a G3 winner/multiple G2 placed, . Screamer sold for $45,000 in foal to Speightstown at the 2008 Keeneland November Breeding Stock Sale.</t>
  </si>
  <si>
    <t>Maddy's Partner</t>
  </si>
  <si>
    <t>Rey Lake</t>
  </si>
  <si>
    <t>Partner's Hero</t>
  </si>
  <si>
    <t>Bought by Granton Bloodstock for $12,000 at the 2012 Keeneland November Breeding Stock Sale, as a broodmare prospect (in foal to Macho Uno).</t>
  </si>
  <si>
    <t>Retired in October 2012. According to a WPT tweet: "He took his partners on a fun ride." // West Point Thoroughbreds announced that Sunrise Smarty has been sent to train under Kieran McLaughlin. // Bought by West Point Thoroughbreds for $100,000 at the 2009 OBS March Selected Sale of Two-Year-Olds in Training. // Offered at the 2007 Keeneland November Breeding Stock Sale, consigned by Three Chimneys Sales, Agent. Reserve not attained.</t>
  </si>
  <si>
    <t>Assumed retired based on three years or more of inactivity, as of Sept. 2011. // According to Amarina Farm Manager, Amie Bingham: "We sent the filly to Lindsey Smith Racing in Western Australia. I have a feeling she wasn’t much good but perhaps you could contact them to confirm." // Foaled in Australia. According to Amie Bingham at Amarina Farm: "sent the filly to Lindsey Smith Racing in Western Australia.  I have a feeling she wasn’t much good."</t>
  </si>
  <si>
    <t xml:space="preserve">Assumed retired based on three years or more of inactivity, as of February. 2011. // Exported to Japan. // Cativa is a G2 winner and a half-sister to the dam of G2 winner, Sinister G. This is her second foal. </t>
  </si>
  <si>
    <t>Assumed retired based on three years or more of inactivity, as of March 2012.</t>
  </si>
  <si>
    <t>Collicked in June 2009. // Listed as "Unnamed (Live Foal Reported)"</t>
  </si>
  <si>
    <t>Assumed retired based on three years or more of inactivity, as of November 2012. // Sold for $3,000 to Bill Jones at the 2009 Keeneland November Breeding Stock Sale.</t>
  </si>
  <si>
    <t xml:space="preserve">Seen offered for sale on Equiline.com. // Offered at the 2009 Keeneland September Yearlings Sale, but did not sell (top bid $35,000). </t>
  </si>
  <si>
    <t>gelding, dkb./b. (NY)</t>
  </si>
  <si>
    <t>Sold for $20,500 at the 2011 LTBA LA Annual Yearlings Sale.</t>
  </si>
  <si>
    <t>Bought by Doug King for $3,500 at the 2012 Fasig-Tipton Midlantic December Mixed Sale.</t>
  </si>
  <si>
    <t>LA - Benton</t>
  </si>
  <si>
    <t>Pulled up in the stretch in November 2012 and was vanned off. Two weeks later, worked a bullet at 4f. // Withdrawn from the 2009 Keeneland November Breeding Stock Sale. // Bought by Ben Glass, Agent for $240,000 at 2007 Keeneland September Yearling Sale, consigned by Three Chimneys Sales (agent for Run For The Roses Stable). // "Fantastic foal. He's correct, has lots of quality, good leg, good hip. He's a very, very good ad for the sire." (Old Bradley Place broodmare manager Richie Donworth)</t>
  </si>
  <si>
    <t>Adopted out of New Vocations (by Olivia, a friend of Madison Scott) and headed for Bryan Station Farm in Lexington, Kentucky. // Bought by Roger Cohn for $50,000 at the 2011 Fasig-Tipton Midlantic Two-Year-Olds in Training Sale. // Sold for $15,000 to Sonia Michelle Simmons at the 2009 Keeneland November Breeding Stock Sale.</t>
  </si>
  <si>
    <t>R-Ven, Dec-12</t>
  </si>
  <si>
    <t>Medallist</t>
  </si>
  <si>
    <t>mare, ch. (NY)</t>
  </si>
  <si>
    <t>mare, ch.  (AUS)</t>
  </si>
  <si>
    <t>mare, ch. (PA)</t>
  </si>
  <si>
    <t>mare, dkb./b. (KY)</t>
  </si>
  <si>
    <t>mare, b. (KSA)</t>
  </si>
  <si>
    <t>mare, gr./r. (NY)</t>
  </si>
  <si>
    <t>mare, b. (NY)</t>
  </si>
  <si>
    <t>mare, ch. (GB)</t>
  </si>
  <si>
    <t>mare, ch. (IRE)</t>
  </si>
  <si>
    <t>mare, dkb./b. (OH)</t>
  </si>
  <si>
    <t>mare, dkb./b. (FL)</t>
  </si>
  <si>
    <t>mare, dkb./b. (PA)</t>
  </si>
  <si>
    <t>mare, dkb./b. (NY)</t>
  </si>
  <si>
    <t>mare, b. (AUS)</t>
  </si>
  <si>
    <t>mare (AUS)</t>
  </si>
  <si>
    <t>mare (KY)</t>
  </si>
  <si>
    <t>horse, b. (KSA)</t>
  </si>
  <si>
    <t>horse, dkb./b. (KY)</t>
  </si>
  <si>
    <t>horse, ch. (IN)</t>
  </si>
  <si>
    <t>horse, gr./r. (ON)</t>
  </si>
  <si>
    <t>horse, ch. (MD)</t>
  </si>
  <si>
    <t>horse, ch.</t>
  </si>
  <si>
    <t>Sky Wise</t>
  </si>
  <si>
    <t>Creative Spirit</t>
  </si>
  <si>
    <t>Uptown Jones</t>
  </si>
  <si>
    <t>Next Event</t>
  </si>
  <si>
    <t>Get the Rhythm</t>
  </si>
  <si>
    <t>Tam</t>
  </si>
  <si>
    <t>TP</t>
  </si>
  <si>
    <t>Bel-t</t>
  </si>
  <si>
    <t>GP</t>
  </si>
  <si>
    <t>Note: Records and earnings confirmed, as of January 2013</t>
  </si>
  <si>
    <t>Prx</t>
  </si>
  <si>
    <t>Affirmed Decision</t>
  </si>
  <si>
    <t>OP</t>
  </si>
  <si>
    <t>My Tootsy</t>
  </si>
  <si>
    <t>Withdrawn from the 2013 Keeneland January Horses of All Ages Sale, as a broodmare (believed to be prgnant by Mischief). // Removed from the 2010 Keeneland September Yearling Sale</t>
  </si>
  <si>
    <t>FG</t>
  </si>
  <si>
    <t>Dapper Dealer</t>
  </si>
  <si>
    <t>Haw</t>
  </si>
  <si>
    <t>PR - San Juan</t>
  </si>
  <si>
    <t xml:space="preserve">Returned to light training in January 2013. // Trainer Ken McPeek expects Rogue Romance to begin training again in late July 2011. // Suffered left ankle fracture after a workout on March 19. Sidelined for 2-3 months and off the Derby trail. // Removed from the 2010 OBS March Two-Year-Old Sale. // A buyback (Catesby Clay) for $65,000 at the 2009 Keeneland September Yearlings Sale. </t>
  </si>
  <si>
    <t>unk 2007</t>
  </si>
  <si>
    <t>unk 2008</t>
  </si>
  <si>
    <t>%</t>
  </si>
  <si>
    <t>Withdrawn from the Tattersalls 2012 December Sale. // Offered at the Tattersalls 2011 December Sale, but did not sell (RNA at 15,000 guineas, or US24,722). // As of 2011, at York Stud in Denmark. // Sold at DBS Auctions Horses in Training Sale (August 2010) for £800 ($1,263). // Sold for 18,000 guineas ($29,000) at Tattersall's July 2009 Sale for Horses/Fillies in Training and Broodmares.  Interestingly, she was listed to race at Chester (IRE) only two days after the sale, but was withdrawn. // Withdrawn from Tattersall's 2009 Horses in Training Sale.  // Bought for 4,000 Guineas ($6,200) at the 2008 Tattersall's December Sale. // Withdrawn from Tattersall's 2008 Autumn Sale. // As of September 2008, Smackeroo is listed on the roster of the Peter Chapple-Hyam training stable in Newmarket. She has been offered for auction all year at re-offer.com; the last bid was in April of 2008. // Offered at the 2007 Tattersalls December Yearling Sale, Consigned by Ballyhane Stud, Ireland. Reserve not attained. // Offered at 2007 Keeneland September Yearling Sale, consigned by Indian Creek. Reserve not attained.  // Out of half-sister to Horse of the Year and multimillionaire Ghostzapper.</t>
  </si>
  <si>
    <t>Nin Pin</t>
  </si>
  <si>
    <t>Smarty's Echo</t>
  </si>
  <si>
    <t>TX - Houston</t>
  </si>
  <si>
    <t>gelding, dk. b./br. (KY)</t>
  </si>
  <si>
    <t>Retired, renamed "Old School," gelded, and re-trained as hunter class racer [http://www.chronofhorse.com/article/look-out-hunter-world-ottbs-are-coming]  //  Bought for $600,000 at the 2008 Saratoga Selected Yearlings Sale, consigned by Taylor Made Sales. // Cozzena is the dam of multiple graded stakes winner Megans Bluff.</t>
  </si>
  <si>
    <t>Roih Jones</t>
  </si>
  <si>
    <t>Retrospective</t>
  </si>
  <si>
    <t>Exported as weanling.</t>
  </si>
  <si>
    <t>Salty Jane</t>
  </si>
  <si>
    <t>Chalov V.N. Stud Farm LLC</t>
  </si>
  <si>
    <t>Tessitura</t>
  </si>
  <si>
    <t>Richard A. Groins</t>
  </si>
  <si>
    <t>Retired - 2013</t>
  </si>
  <si>
    <t>Earnings per Start</t>
  </si>
  <si>
    <t>Maui Jijon</t>
  </si>
  <si>
    <t>W-Prx, Apr-13</t>
  </si>
  <si>
    <t>gelding, b. (VA)</t>
  </si>
  <si>
    <t>Standing stud for $750 live foal fee, near Temecula CA. // Bred and owned by Michael Lynch. // "A beautiful chestnut colt, he looks just like his daddy," says Marie Yoshida of Winchester Farm. "He's good sized, very alert, active and we're thrilled with him."</t>
  </si>
  <si>
    <t>KOREA</t>
  </si>
  <si>
    <t>TRINIDAD</t>
  </si>
  <si>
    <t>Eye Appeal</t>
  </si>
  <si>
    <t>Cat Thief</t>
  </si>
  <si>
    <t xml:space="preserve">Assumed retired based on three years or more of inactivity, as of April, 2013. // Offered at the 2010 OBS Spring Sale of Two-Year-Olds in Training but did not sell (top offer was $15,000). // Was removed from the 2010 OBS Spring Sale of Two-Year-Olds in Training. // Bought by Virgilio Lopez for $4,500 at the 2009 Keeneland September Yearlings Sale. </t>
  </si>
  <si>
    <t>NY - Elmont</t>
  </si>
  <si>
    <t>filly, ch. (PA)</t>
  </si>
  <si>
    <t>filly, gr./r. (PA)</t>
  </si>
  <si>
    <t>Cheonha Makgang</t>
  </si>
  <si>
    <t>Jockey Club lists 2012 Report of mares Bred Report is "pending." // Bought by Rodger L Smith for $4,500 at the 2009 Fasig-Tipton Midlantic Two-Year-Olds in Training Sale. // Removed from the 2008 Keeneland September Yearling Sale, consigned by Three Chimneys Sales, Agent. // Quiet Strike is a half sister to four stakes winners, including multiple G1 winner, Kalookan Queen. Her second dam, Clear Copy, is a G3 winner and G1 placed multiple stakes producer and her third dam is blue hen Half Tone. She is the dam of three foals to race, two are winners and the other has placed a bunch of times. Her half-sister Tomorrows Empress also had a Smarty colt, on April 16. // Breeder: Donald and Mary Zuckerman</t>
  </si>
  <si>
    <t>According to Fox Tale Stud owner, Dawn Newman, her mare was sent to Smarty in mid-April.</t>
  </si>
  <si>
    <t>Sold to Denn Racing Stables for $8,000 at the 2013 OBS Spring 2YO-in-Training Sale. // Broodmare, in foal to Smarty Jones, was bought by Chad Schumer, Agent, for $4,000 at the 2010 Keeneland November Breeding Stock Sale. Last serviced, June 2, 2010.</t>
  </si>
  <si>
    <t>John Osterman</t>
  </si>
  <si>
    <t>Broodmare was bought by Khalid Shalabi for $2,500 at the 2012 Keeneland November Sale, believed to be pregnant. // Serviced June 17, 2012</t>
  </si>
  <si>
    <t>Broodmare was bought by John Osterman for $1,000 at the 2012 Fasig-Tipton Midlantic December Mixed Sale, believed to be pregnant. // Serviced April 19, 2012.</t>
  </si>
  <si>
    <t>Clever Buddha</t>
  </si>
  <si>
    <t>Victory Trick</t>
  </si>
  <si>
    <t>Off Tracks</t>
  </si>
  <si>
    <t>St</t>
  </si>
  <si>
    <t>Win Percent</t>
  </si>
  <si>
    <t>ITM Percent</t>
  </si>
  <si>
    <t>Turf</t>
  </si>
  <si>
    <t>All-Weather</t>
  </si>
  <si>
    <t>MN - Minneapolis</t>
  </si>
  <si>
    <t>Sha Tin</t>
  </si>
  <si>
    <t>Fake Romance</t>
  </si>
  <si>
    <t>Not For Love</t>
  </si>
  <si>
    <t>Hope Jones and Isabelle de Tomasco</t>
  </si>
  <si>
    <t>MN - Canterbury</t>
  </si>
  <si>
    <t>Assumed retired/deceased based on three years or more of inactivity, as of April 2010</t>
  </si>
  <si>
    <t>Registration page shows that Smarty Incheon was removed from the active racing list in June, 2012. // Transferred from the farm to Seoul Racecourse in late May and is being trained by Park Hee Chul. // Bought by Kyoung Ja Kweon for $17,000 at the 2012 Barretts January Mixed Sale. // Offered but did not sell (RNA at $1,700) at the 2010 Keeneland November Breeding Stock Sale. // Broodmare sold for $30,000 to Hurricane Hills at the 2009 Keeneland November Breeding Stock Sale. // Broodmare serviced April 28.</t>
  </si>
  <si>
    <t>Main Line Racing Stable</t>
  </si>
  <si>
    <t>Phone Fiducal</t>
  </si>
  <si>
    <t>Kazakhstan</t>
  </si>
  <si>
    <t>Returned to Henry Dominguez in August, 2012. // Moved to Steve Asmussen's barn at Churchill Downs on April 17, 2012. // Debut winner on September 13, 2011. // Bought by Kirk and Judy Robison for $45,000 at the 2010 Keeneland September Yearling Sale</t>
  </si>
  <si>
    <t>Bought by Guy American Racing for $25,000 at the 2013 OBS June 2YOs &amp; Horses of Training Age Sale. // Offered at the 2013 OBS Spring 2YO-in-Training Sale, but was withdrawn. // Bought for $12,000 by A Delaperriere Stables LLC at the 2012 Fasig-Tipton Kenucky Fall Yearlings Sale</t>
  </si>
  <si>
    <t>Lucky Seven</t>
  </si>
  <si>
    <t>Bulga Hangnyeok</t>
  </si>
  <si>
    <t>Booty Fox</t>
  </si>
  <si>
    <t>Originally named "Smart and Foxy." Name changed in 2013.</t>
  </si>
  <si>
    <t>Assumed retired with more than three years passing since last activity in July 2010.</t>
  </si>
  <si>
    <t>Assumed retired with more than three years passing since last activity in July 2010. // Offered at the 2008 Keeneland September Yearling Sale, consigned by Bluegrass Thor. Services, Inc. (J. Stuart), Agent for Mueller Farms, Inc. Reserve not attained. // Skybox has produced three stakes horses (including $700K-plus earner, Sand Ridge) and all her foals to race are winners. She also is a half-sister to the dam of champion, Perfect Soul, and to the granddam of Flashy Bull and Pink Viper. Her second dam is Canadian Champion Queen Louie.</t>
  </si>
  <si>
    <t>Assumed retired with more than three years passing since last activity in July 2010. // Claimed by Milton Gaede for $5,000 in December 2009. // Sold for $7,000 T. E. Bishoff at the 2009 Keeneland November Breeding Stock Sale. // Gelded after his first race in June 2009. // Removed from the 2009 Keeneland January Horses of All Ages Sale. // Removed from the 2008 Keeneland November Breeding Stock Sale. // Bought by Shadwell Estate Company, Ltd  $425,000 at the Keeneland 2006 November Breeding Stock Sale, consigned by Denali Stud (Craig and Holly Bandoroff), Agent. // "This is a very, very nice colt. He has plenty of leg, good bone and we're just overall very happy with him." (Tom Bozarth)</t>
  </si>
  <si>
    <t>Canyon Creek</t>
  </si>
  <si>
    <t>Assumed retired based on three years or more of inactivity, as of August, 2013. // Claimed in debut race (May 2009) by trainer Van Belvoir for Nelson Family Racing, which makes her the first Smarty Jones foal to be claimed. // Offered at 2007 Keeneland September Yearling Sale, consigned by Greenfield Farm (B. D. Gibbs Farm LLC). Reserve not attained.</t>
  </si>
  <si>
    <t>Graded Stakes</t>
  </si>
  <si>
    <t>Hidden Paradise</t>
  </si>
  <si>
    <t>Mr. and Mrs. Douglas Hugh Cheetham</t>
  </si>
  <si>
    <t>Dragon's Lair Farm LLC</t>
  </si>
  <si>
    <t>Blue Rose Farm LLC</t>
  </si>
  <si>
    <t>Tuscaloosa Jones</t>
  </si>
  <si>
    <t>A name was submitted on 8/2/13... Dyna Soar... but it was rejected by The Jockey Club because it was too close to another registered name (Dinosaur).</t>
  </si>
  <si>
    <t>Perfect American</t>
  </si>
  <si>
    <t>Dynamistical</t>
  </si>
  <si>
    <t>Bred to Summation in 2013. // From 3CF: "One quick note about Smarty Jones' Miracle Baby... This filly is one lucky lady. She was actually born clinically dead and one of our broodmare managers, Richie Donworth, worked tirelessly to resuscitate her. Vets were not sure if she'd survive, but she did. Then, nobody thought she'd make it to the track to start her training, but, again, she did. Then, it was iffy as to whether she'd ever actually make it to the races, but again and again she has proved everyone wrong. She's a sweet little filly and we're thrilled that she's thriving!" // Trained by LeRoy Jolley as of October 2008. // Offered at 2007 Keeneland September Yearling Sale, consigned by Three Chimneys Sales (agent for Jack Garey). Reserve not attained. // "Big, strong, flashy individual," says Old Bradley Place manager Richie Donworth.  // Bred by Jack &amp; Camille Garey.</t>
  </si>
  <si>
    <t>Bred to Kitten's Joy in 2013. // Bought by Good Luck Farm for $40,000 at the 2010 Keeneland November Breeding Stock Sale. In foal to First Defence. (Note from poster to TBC: "We were the underbidder on Betty's Baroness today. She had a few little conformational issues that prevented us from going past 40 for her. She looked a lot like her sire though... but bigger (16.1) and heavily muscled. She had a huge hip on her." // Retired to breeding in 2010. // Offered at the 2008 Keeneland September Yearling Sale, consigned by Three Chimneys Sales, Agent for Golden Eagle Farm. Reserve not attained.</t>
  </si>
  <si>
    <t>Bred to Archarcharch in 2013. // At Xanthus Farm for sale as a broodmare prospect. // Code Variance is owned by John Servis. She's a half-sister to Keyed Entry.</t>
  </si>
  <si>
    <t>Bred to Ordained in 2013. // Bought by Equix LLC for $17,000 at the 2011 Keeneland September Yearling Sale.</t>
  </si>
  <si>
    <t>Is a member of the Delaware State Police Mounted patrol, as of 2012. // Has new career as a show horse after retiring from racing with an injury in the Spring of 2010. // Broodmare, Mandy's Gold, was euthanized in August 2009. // "A nice, correct colt -- the image of Smarty Jones with a star and everything." (Old Bradley Place manager Richie Donworth) // Owned and bred by Steeplechase Farm.</t>
  </si>
  <si>
    <t>Retired and placed in a new home out of racing in 2013. // Bought by Leprechaun Racing, Agent for $40,000 at 2007 Keeneland September Yearling Sale, consigned by Eaton Sales. // Offered at the Keeneland 2006 November Breeding Stock Sale, consigned by Vinery Ltd. Removed from sale.</t>
  </si>
  <si>
    <t>Wonderful</t>
  </si>
  <si>
    <t>colt (VEN)</t>
  </si>
  <si>
    <t>Willa on the Move</t>
  </si>
  <si>
    <t>April Gator</t>
  </si>
  <si>
    <t>Ms. Moscow</t>
  </si>
  <si>
    <t>Blitzensfoxyvixsin</t>
  </si>
  <si>
    <t>Domestic Bliss</t>
  </si>
  <si>
    <t>Cat and Deer</t>
  </si>
  <si>
    <t>Berry Tart</t>
  </si>
  <si>
    <t>Miss Mary</t>
  </si>
  <si>
    <t>National Pastime</t>
  </si>
  <si>
    <t>Henrietta D</t>
  </si>
  <si>
    <t>Leagleyeser</t>
  </si>
  <si>
    <t>Hey Seattle</t>
  </si>
  <si>
    <t>Tugger</t>
  </si>
  <si>
    <t>Weeper</t>
  </si>
  <si>
    <t>Gracious Megan</t>
  </si>
  <si>
    <t>Love You Love</t>
  </si>
  <si>
    <t>Lutay Love</t>
  </si>
  <si>
    <t>Mother Molly Boo</t>
  </si>
  <si>
    <t>Grammie's Gift</t>
  </si>
  <si>
    <t>Reportedly retired to breeding in Australia. // Bought for $231,840 by G.V. Woodruff at the 2008 South African Emperor's Palace National Yearling Sale, consigned by Riethuiskraal Stud.</t>
  </si>
  <si>
    <t>Bred to Run Production in 2012.</t>
  </si>
  <si>
    <t>Bred to Flagship in 2012. // Bought by John Hayes (agent) for $10,000 at the 2012 Keeneland January Horses of All Ages Sale.</t>
  </si>
  <si>
    <t>CAN - Saskatoon</t>
  </si>
  <si>
    <t>Assumed retired based on three years or more of inactivity dating back to September 2010. // Bought by B. Lunsford for $650,000 at the 2007 Saratoga Selected Yearlings Sale, consigned by Woods Edge Farm (Peter O’Callaghan, Agent). // Bought by Doc Bloodstock for $290,000 at the Keeneland 2006 November Breeding Stock Sale, consigned by Taylor Made Sales Agency, Agent for Aaron &amp; Marie Jones. // Smarty's second foal is "an outstanding foal, plenty of leg and bone, very athletic." (Frank Taylor at Taylor Made Farm) // The colt has four white stockings. The mare and colt are owned by Aaron Jones.</t>
  </si>
  <si>
    <t>Assumed retired based on three years or more of inactivity dating back to September 2010. // Bought by Mds Farm for $2,500 at the 2010 Keeneland September Yearling Sale</t>
  </si>
  <si>
    <t>Assumed retired based on three years or more of inactivity dating back to September 2010. // Bought by Min Hyong Gun (KOID) for $9,000 at the 2010 Keeneland September Yearling Sale. // Sold for $15,000 to John Hayes at the 2009 Keeneland November Breeding Stock Sale. // Broodmare was removed from the 2008 Keeneland November Breeding Stock Sale, mated to Smarty Jones, last service May 13, 2008 (believed to be PREGNANT).</t>
  </si>
  <si>
    <t>Assumed retired based on three years or more of inactivity dating back to September 2010. // Removed from the 2010 Keeneland September Yearling Sale. // Bred and owned by Larry Baker, as of February 2010. // Broodmare was removed from the 2008 Keeneland November Breeding Stock Sale, mated to Smarty Jones, last service May 30, 2008 (believed to be PREGNANT).</t>
  </si>
  <si>
    <t>Assumed retired based on three years or more of inactivity, as of April 2010</t>
  </si>
  <si>
    <t>Silver Glade</t>
  </si>
  <si>
    <t>Dr. Scott A. McManus VMD</t>
  </si>
  <si>
    <t>Singing Sword</t>
  </si>
  <si>
    <t>Died - 2013</t>
  </si>
  <si>
    <t xml:space="preserve">Euthanized after a training accident at Seoul Race Park on August 12, 2013. // Bought by Sekei Corporation for $3,000 at the Keeneland November Sale. </t>
  </si>
  <si>
    <t>R-JPN, Sep-13</t>
  </si>
  <si>
    <t>Did not sell (RNA at $5,000) at the 2013 Fasig-Tipton Midlantic Yearling Sale</t>
  </si>
  <si>
    <t>Did not sell (RNA at $7,500) at the 2013 Fasig-Tipton Midlantic Yearling Sale</t>
  </si>
  <si>
    <t>Bought for $19,000 by Richard P. Hessee at the 2013 Fasig-Tipton Midlantic Yearling Sale</t>
  </si>
  <si>
    <t>Did not sell (RNA at $14,000) at the 2013 Fasig-Tipton Midlantic Yearling Sale</t>
  </si>
  <si>
    <t>AZ - Phoneix</t>
  </si>
  <si>
    <t xml:space="preserve">Assumed retired based on three years or more of inactivity, as of October. 2010. // Bought by Flying Zee Stable for $20,000 at the 2009 Keeneland September Yearlings Sale. </t>
  </si>
  <si>
    <t>France</t>
  </si>
  <si>
    <t>Smoking Kay</t>
  </si>
  <si>
    <t>Smoke Glacken</t>
  </si>
  <si>
    <t>Twining</t>
  </si>
  <si>
    <t>Green Alligator</t>
  </si>
  <si>
    <t>Purge</t>
  </si>
  <si>
    <t>Domestic Dispute</t>
  </si>
  <si>
    <t>Lemon Drop Kid</t>
  </si>
  <si>
    <t>Deerhound</t>
  </si>
  <si>
    <t>Conquistador Cielo</t>
  </si>
  <si>
    <t>Eagle Eyed</t>
  </si>
  <si>
    <t>Safe Prospect</t>
  </si>
  <si>
    <t>Langfuhr (CAN)</t>
  </si>
  <si>
    <t>Malibu Moon</t>
  </si>
  <si>
    <t>King's Fiction</t>
  </si>
  <si>
    <t>King's Empress</t>
  </si>
  <si>
    <t>Upcoming Sales Horses</t>
  </si>
  <si>
    <t>Calming</t>
  </si>
  <si>
    <t>Calamity Jones</t>
  </si>
  <si>
    <t>W-CCT, Oct-13</t>
  </si>
  <si>
    <t>R-Mnr, Oct-13</t>
  </si>
  <si>
    <t>Bought for $3,500 by Rafael Ramos at the 2013 Fasig-Tipton Saratoga Fall Mixed and Horses of Racing Age Sale, as a racing/broodmare prospect.</t>
  </si>
  <si>
    <t>Was RNA at $1,000 at the 2013 Fasig-Tipton Saratoga Fall Mixed and Horses of Racing Age Sale, in foal to Noonmark.</t>
  </si>
  <si>
    <t>Euthanized at AQU due to  “severe left-front hoof infection” in October 2013. // Was assumed retired based on three years or more of inactivity, as of November 2009, until he showed up working out in July, 2013. // Bought by Gus King for $5,500 at the 2009 Keeneland November Breeding Stock Sale.</t>
  </si>
  <si>
    <t>Broodmare sold for $15,000 to Haras Norte Sur at the 2009 Keeneland November Breeding Stock Sale. // Broodmare serviced by Smarty Jones on March 7.</t>
  </si>
  <si>
    <t>Bred to Orpen (BRZ) in 2011 (lost foal) and 2012. // Exported to Argentina. // Crystal House is the 1999 Chilean Derby winner and 1999 Chilean Horse of the Year and Champion 3YO Filly.  Her dam is also a Chilean Champion and she (Crystal House) is full to a G1 winning filly and half to the dam of a Champion 2YO colt/Derby winner. Her first foal is a yearling colt by Rahy. // Removed from the 2007 Keeneland November Breeding Stock Sale, consigned by Bluegrass Thor. Services, Inc. (J. Stuart), Agent for M-2 Stable LLC and La Providencia.</t>
  </si>
  <si>
    <t>Retired to showing and eventing. // Offered but not sold at the Tattersalls' 2010 December Mare Sale. //  Exported to UAE. // Wendy Vaala is an unraced daughter of the blue hen Balidaress, making her half to English champion filly Park Appeal, who is the dam of Cape Cross (sire of Ouija Board, among others) and to Irish champion older horse Nashamaa.  She is also half to G1 winner Alydaress and G1 winner Desirable, who is the dam of champion filly Shadayid and of Dumaani, etc...  Wendy is also half to G2 winner Perfectperformance as well as a couple of graded stakes placed horses.  And she's half to the unraced Balistroika, who is the dam of champion Russian Rhythm.  So basically you won't find many, if any, female families that are better than this. // Bought by Shadwell Estate Company, Ltd. for $200,000 at the 2007 Keeneland November Breeding Stock Sale, consigned by Three Chimneys Sales, Agent.</t>
  </si>
  <si>
    <t>Bred to Sixities Icon in 2012. // Exported to Argentina. // Bought by Dama Group for $37,000 at the 2008 Keeneland September Yearling Sale, consigned by Trackside Farm (Tom Evans), Agent for Liberation Farm et al. // Speeding Star is an Argentine G1 winner and is half to a G2 and G3 placed US bred filly by Belong To Me (named Shebelongstoyou). // Speeding Star (in foal to Smarty Jones) was bought for $120,000 by Liberation Farm at the 2006 Keeneland November Breeding Stock Sale.</t>
  </si>
  <si>
    <t>Assumed retired based on three years or more of inactivity, as of November 2013. // Gelded in 2009. // Foaled in Japan. // Strait From Texas (in foal to Smarty Jones) was bought for $450,000 by Katsumi Yoshida at the 2005 Keeneland November Breeding Stock Sale.</t>
  </si>
  <si>
    <t xml:space="preserve">Assumed retired with more than three years passing since last activity in November 2010. // Bought by Champion Racing Stable for $4,500 at the 2009 Fasig-Tipton Midlantic Two-Year-Olds in Training Sale. // Removed from the 2008 Keeneland September Yearling Sale, consigned by Eaton Sales, Agent. </t>
  </si>
  <si>
    <t>Lemondropkisses</t>
  </si>
  <si>
    <t>Hug Me Please</t>
  </si>
  <si>
    <t>Avia Pitts</t>
  </si>
  <si>
    <t>R-CT, Nov-13</t>
  </si>
  <si>
    <t>http://www.retiredracehorsetraining.org/index.php?option=com_sobipro&amp;pid=63&amp;sid=1436:Aheadofthejoneses&amp;Itemid=280 // On December 8, 2010, Aheadofthejonses veered into the path of another horse and fell. He was vanned off. Condition not known. // I Love New York is a half sister to Friend's Lake and to Seeking the Ante. Her dam, Antespend, and 2nd dam, Auspiciante, are both multiple G1 winners.</t>
  </si>
  <si>
    <t>Listed for adoption by CANTER in June 2013 and was subsequently listed as sold in November 2013. // Simply Simple's third dam is champion, Cascapedia.</t>
  </si>
  <si>
    <t>Offered for sale online at thoroughlybred.com, listing available from October 11 through October 26. // Bought by William E Hazin, Jr. for $2,500 at the 2012 Keeneland January Horses of All Ages Sale.</t>
  </si>
  <si>
    <t>Judi's Joy</t>
  </si>
  <si>
    <t>For sale as a broodmare of performance horses, http://www.moonlitmeadows.net/mares.htm. // Moujane delivered 2012 filly (named Mackenzies Moment) by Flower Alley in January 2012.</t>
  </si>
  <si>
    <t>Retired  - 2013</t>
  </si>
  <si>
    <t>FL - Tampa</t>
  </si>
  <si>
    <t>S-CT, Nov-13</t>
  </si>
  <si>
    <t>Exported in December 2013. // Bought by Ricardo Cardoze for $22,000 at the 2013 Keeneland September Sale</t>
  </si>
  <si>
    <t>Au Chaunte</t>
  </si>
  <si>
    <t>Name translates to "pleased to meet you," as in, "Enchanted!"  // Broodmare bought by Ronney W. Brown for $1,000 at the 2011 Fasig-Tipton Midlantic Sale.</t>
  </si>
  <si>
    <t>total purses for month</t>
  </si>
  <si>
    <t>per race average for month</t>
  </si>
  <si>
    <t>Bought by James Lawrence, agent, for $10,000 at the 2013 Fasig-Tipton December Mixed Sale.</t>
  </si>
  <si>
    <t>Broodmare was bought by Mark Russell for $6,000 at the 2013 December Midlantic Mixed Sale.</t>
  </si>
  <si>
    <t>Offered up for adoption on an online adoption site, as of December 2013. // Bought by Pewter Stable for $5,000 at the 2010 Fasig-Tipton KY Fall Yearlings Sale.</t>
  </si>
  <si>
    <t>Assumed retired/deceased based on three years or more of inactivity, as of November 2010 // Bought by Kazakov for $6,000 at the 2010 Keeneland November Breeding Stock Sale. // Broodmare was sold for $45,000 to Royal Pegasus at the 2009 Keeneland November Breeding Stock Sale. // Broodmare serviced February 24.</t>
  </si>
  <si>
    <t>Lady Julia</t>
  </si>
  <si>
    <t>[live foal reported]</t>
  </si>
  <si>
    <t>mare, b. (ON)</t>
  </si>
  <si>
    <t>mare, ch. (VA)</t>
  </si>
  <si>
    <t>mare, ch. (VEN)</t>
  </si>
  <si>
    <t>horse, ch. (LA)</t>
  </si>
  <si>
    <t>horse, b. (GER)</t>
  </si>
  <si>
    <t>horse, b. (PA)</t>
  </si>
  <si>
    <t>Amplified</t>
  </si>
  <si>
    <t>Queen's Point</t>
    <phoneticPr fontId="3" type="noConversion"/>
  </si>
  <si>
    <t>Pyramid Peak</t>
    <phoneticPr fontId="3" type="noConversion"/>
  </si>
  <si>
    <t>filly, ch. (WV)</t>
  </si>
  <si>
    <t>Love Has Foundaway</t>
    <phoneticPr fontId="3" type="noConversion"/>
  </si>
  <si>
    <t>Not For Love</t>
    <phoneticPr fontId="3" type="noConversion"/>
  </si>
  <si>
    <t>Eye Appeal</t>
    <phoneticPr fontId="3" type="noConversion"/>
  </si>
  <si>
    <t>Cat Thief</t>
    <phoneticPr fontId="3" type="noConversion"/>
  </si>
  <si>
    <t>Edger Jones</t>
  </si>
  <si>
    <t>His Kingdom</t>
  </si>
  <si>
    <t>Ready to Love</t>
    <phoneticPr fontId="3" type="noConversion"/>
  </si>
  <si>
    <t>Irish Jones</t>
  </si>
  <si>
    <t>John Jones</t>
  </si>
  <si>
    <t>Polish Numbers</t>
    <phoneticPr fontId="3" type="noConversion"/>
  </si>
  <si>
    <t>Jones Taxi</t>
  </si>
  <si>
    <t>Loni Kai</t>
  </si>
  <si>
    <t>Jennymeg</t>
    <phoneticPr fontId="3" type="noConversion"/>
  </si>
  <si>
    <t>Housebuster</t>
    <phoneticPr fontId="3" type="noConversion"/>
  </si>
  <si>
    <t>Magnum Forty</t>
  </si>
  <si>
    <t>Tugger</t>
    <phoneticPr fontId="3" type="noConversion"/>
  </si>
  <si>
    <t>Twining</t>
    <phoneticPr fontId="3" type="noConversion"/>
  </si>
  <si>
    <t>Maxwell Smarty</t>
  </si>
  <si>
    <t>gelding, dkb./br. (PA)</t>
  </si>
  <si>
    <t>Maya Elizabeth</t>
  </si>
  <si>
    <t>Love You Love</t>
    <phoneticPr fontId="3" type="noConversion"/>
  </si>
  <si>
    <t>Mister Smarty</t>
  </si>
  <si>
    <t>colt, b. (MD)</t>
  </si>
  <si>
    <t>Orbit</t>
  </si>
  <si>
    <t>Leebearski</t>
    <phoneticPr fontId="3" type="noConversion"/>
  </si>
  <si>
    <t>Pulinson</t>
  </si>
  <si>
    <t>filly, b. (NJ)</t>
  </si>
  <si>
    <t>Maddys Partner</t>
    <phoneticPr fontId="3" type="noConversion"/>
  </si>
  <si>
    <t>Partners Hero</t>
    <phoneticPr fontId="3" type="noConversion"/>
  </si>
  <si>
    <t>Smarty White Socks</t>
  </si>
  <si>
    <t>Sweet Baby Jones</t>
  </si>
  <si>
    <t>Tortured Logic</t>
  </si>
  <si>
    <t>Sir Cat</t>
    <phoneticPr fontId="3" type="noConversion"/>
  </si>
  <si>
    <t>Willful</t>
  </si>
  <si>
    <t>Queen Kennelot</t>
    <phoneticPr fontId="3" type="noConversion"/>
  </si>
  <si>
    <t>Awesome Again</t>
    <phoneticPr fontId="3" type="noConversion"/>
  </si>
  <si>
    <t>Dixieland Rock</t>
    <phoneticPr fontId="3" type="noConversion"/>
  </si>
  <si>
    <t>Dixieland Band</t>
    <phoneticPr fontId="3" type="noConversion"/>
  </si>
  <si>
    <t>Lady Cheyne</t>
    <phoneticPr fontId="3" type="noConversion"/>
  </si>
  <si>
    <t>Affirmed</t>
    <phoneticPr fontId="3" type="noConversion"/>
  </si>
  <si>
    <t>Mohonour</t>
    <phoneticPr fontId="3" type="noConversion"/>
  </si>
  <si>
    <t>Honour and Glory</t>
    <phoneticPr fontId="3" type="noConversion"/>
  </si>
  <si>
    <t>She's Fancy Free</t>
    <phoneticPr fontId="3" type="noConversion"/>
  </si>
  <si>
    <t>Peteski</t>
    <phoneticPr fontId="3" type="noConversion"/>
  </si>
  <si>
    <t>Shootforthestars</t>
    <phoneticPr fontId="3" type="noConversion"/>
  </si>
  <si>
    <t>Seattle Slew</t>
    <phoneticPr fontId="3" type="noConversion"/>
  </si>
  <si>
    <t>filly, ch. (AR)</t>
  </si>
  <si>
    <t>Star Ransom</t>
    <phoneticPr fontId="3" type="noConversion"/>
  </si>
  <si>
    <t>Red Ransom</t>
    <phoneticPr fontId="3" type="noConversion"/>
  </si>
  <si>
    <t>filly, ch. (MD)</t>
  </si>
  <si>
    <t>Tanca</t>
    <phoneticPr fontId="3" type="noConversion"/>
  </si>
  <si>
    <t>Tuff Partners</t>
    <phoneticPr fontId="3" type="noConversion"/>
  </si>
  <si>
    <t>Partners Hero</t>
    <phoneticPr fontId="3" type="noConversion"/>
  </si>
  <si>
    <t>Honor Time</t>
  </si>
  <si>
    <t>Reported dead before registration with the Jockey Club could be completed.</t>
  </si>
  <si>
    <t>According to Fox Tale Stud owner, Dawn Newman, her mare was sent to Smarty in mid-April. From Dawn: "Barn name is Gringo. He is on the small side... just what I had expected from a tiny maiden mare... but fiesty!"</t>
  </si>
  <si>
    <t>That Jones Girl</t>
  </si>
  <si>
    <t>Dr. Klobia S. Carroll, Chris Tokarek &amp; Rich Tokarek</t>
  </si>
  <si>
    <t>King's Thrill</t>
  </si>
  <si>
    <t>King's Grant</t>
  </si>
  <si>
    <t>Pocket It</t>
  </si>
  <si>
    <t>Pok Ta Pok</t>
  </si>
  <si>
    <t>Thomas Foster</t>
  </si>
  <si>
    <t>Viski</t>
  </si>
  <si>
    <t>Maria Montez Haire</t>
  </si>
  <si>
    <t>PANAMA</t>
  </si>
  <si>
    <t>gelding, b. (PA)</t>
  </si>
  <si>
    <t>5/5</t>
  </si>
  <si>
    <t>Bought by George Farlow for $5,000 at the 2014 Keeneland January Horses of All Ages Sale, as a broodmare believed to be pregnant by Parading. //  Offered at the Keeneland November Sale, but did not sell (RNA at $12,000). Believed to be in foal to Stroll. // As of July 2009, Loosely is in South Carolina. She was a little nervous and on her toes and needed some time to mature. She is scheduled to go to the track at the end of July with trainer, Graham Motion. Staci Hancock described her as a "big, beautiful filly."</t>
  </si>
  <si>
    <t>R-CT, Jan-14</t>
  </si>
  <si>
    <t>PUERTO RICO</t>
  </si>
  <si>
    <t>Smart Dixie Jones</t>
  </si>
  <si>
    <t>Parx</t>
  </si>
  <si>
    <t>Sold to Triple Crown Racing for $25,000 at the 2013 Keeneland November Breeding Stock Sale, in foal to First Defence. // Bought by Danny E. Cummins for $5,000 at the 2012 Keeneland January Horses of All Ages Sale. In foal to First Samurai. // Trainer Harwood noted in August 2008: "She has tender shins right now, so she isn't close to starting, but she is absolutely gorgeous. We're really looking forward to racing her." // Offered at 2007 Keeneland September Yearling Sale, consigned by Three Chimneys Sales. Reserve not attained. // "She's a nice baby. She's good sized, well balanced, nice bodied, and has a really strong hip." (Three Chimneys broodmare manager Tony Burton)</t>
  </si>
  <si>
    <t>JAPAN</t>
  </si>
  <si>
    <t>Retired after first start with a bowed tendon. This video surfaced in 2013: http://www.youtube.com/watch?v=NKorRgnisCo // Offered at the Keeneland 2006 November Breeding Stock Sale, consigned by Three Chimney Farms, agent. Removed from sale. // Offered at 2007 Keeneland September Yearling Sale, consigned by Taylor Made Sales Agency. Reserve not attained. // "He's just sensational. He's a really special horse, very smart. He looks just like his daddy, medium sized, correct, beautiful head. He's an outstanding foal." (farm manager Junior Little) // Belles Lettres (in foal to Smarty Jones) was bought for $200,000 by Jeffrey Tucker at the 2005 Keeneland November Breeding Stock Sale.</t>
  </si>
  <si>
    <t>Bought by Red Sunset Farm for $16,500 at the 2014 OBS Winter Mixed Sale-she foaled a colt by Kantharos (Lion Heart) on January 16. She's in the Consignor Preferred Sale. // Bought by Todd Quast (for Goldmark) for $150,000 at the 2007 Saratoga Selected Yearlings Sale, consigned by Eaton Sales. // Pleasant Point (in foal to Smarty Jones) was offered at the 2005 Keeneland November Breeding Stock Sale; reserve not attained.</t>
  </si>
  <si>
    <t>James R. Brame (Mill Creek Farm)</t>
  </si>
  <si>
    <t>A local Bucks County newspaper had a story about a new Smarty foal arriving in Buckingham</t>
  </si>
  <si>
    <t>Smarty Jones Lady</t>
  </si>
  <si>
    <t>She's Running Free</t>
  </si>
  <si>
    <t>Smarty Star</t>
  </si>
  <si>
    <t xml:space="preserve">Bought by Neal M. Allread for $16,000 at the 2014 OBS Winter Mixed Sale. // Removed from the 2011 OBS April Sale of 2YOs in Training. </t>
  </si>
  <si>
    <t>AllOptCl12500 4YO&amp;up</t>
  </si>
  <si>
    <t>1/5</t>
  </si>
  <si>
    <t>1/1</t>
  </si>
  <si>
    <t>Killed during a lightning storm</t>
  </si>
  <si>
    <t>Aqu</t>
  </si>
  <si>
    <t>Sold for US$33,491 to Templeton Stud at the 2009 Tattersalls October sale. //  Withdrawn from the 2008 Tattersalls December Foal Sale. // Madame Anne Peters (in foal to Smarty Jones) was offered at the 2007 Tattersalls December Mare Sale, consigned by Voute Sales Ltd. (Agent). Reserve not attained with final bid of 78,000 Guineas ($168,000). // According to her catalog page, she's a half-sister to multiple G3 winner/G2 placed Gold Land by Gone West. Her dam is also half to multiple G1 winner Soviet Line.</t>
  </si>
  <si>
    <t>Victory Guaranteed</t>
  </si>
  <si>
    <t>Victory Gallop</t>
  </si>
  <si>
    <t>Linda Lee Mason</t>
  </si>
  <si>
    <t>Ava Anne</t>
  </si>
  <si>
    <t>Celtic Journey</t>
  </si>
  <si>
    <t>D Day</t>
  </si>
  <si>
    <t>Halle's Aptitude</t>
  </si>
  <si>
    <t>Happy Hailey</t>
  </si>
  <si>
    <t>Hot Route</t>
  </si>
  <si>
    <t>Lelander</t>
  </si>
  <si>
    <t>Quitters Never Win</t>
  </si>
  <si>
    <t>Russian Classic</t>
  </si>
  <si>
    <t>Spartan Princess</t>
  </si>
  <si>
    <t>Tabloid</t>
  </si>
  <si>
    <t>Why You</t>
  </si>
  <si>
    <t>Trippi</t>
  </si>
  <si>
    <t>Aptitude</t>
  </si>
  <si>
    <t>Rock Slide</t>
  </si>
  <si>
    <t>Cherokee Run</t>
  </si>
  <si>
    <t>Songandaprayer</t>
  </si>
  <si>
    <t>Regal Classic</t>
  </si>
  <si>
    <t>Power By Far</t>
  </si>
  <si>
    <t>Run For Katie</t>
  </si>
  <si>
    <t xml:space="preserve">Ernest J Dahlman and Eugene E Hauman </t>
  </si>
  <si>
    <t xml:space="preserve">Anthony Sereno Bassett </t>
  </si>
  <si>
    <t>filly (MI)</t>
  </si>
  <si>
    <t xml:space="preserve">Erika Neuberg </t>
  </si>
  <si>
    <t>colt (NJ)</t>
  </si>
  <si>
    <t xml:space="preserve">T. Scott Brawley </t>
  </si>
  <si>
    <t xml:space="preserve">Marilyn Anne Doetsch </t>
  </si>
  <si>
    <t xml:space="preserve">Judith I. Gaehel </t>
  </si>
  <si>
    <t xml:space="preserve">D.J. Stable </t>
  </si>
  <si>
    <t>A &amp; B Stables, Inc.</t>
  </si>
  <si>
    <t xml:space="preserve">Donna Tullner and Stephen Glessner </t>
  </si>
  <si>
    <t xml:space="preserve">William Hettinger </t>
  </si>
  <si>
    <t>Marathon Farms, Inc.</t>
  </si>
  <si>
    <t>colt, ch. (MD)</t>
  </si>
  <si>
    <t xml:space="preserve">Maryann Gans and Charlie Gans </t>
  </si>
  <si>
    <t xml:space="preserve">Lana Wright </t>
  </si>
  <si>
    <t>MEXICO</t>
  </si>
  <si>
    <t>Smart and Tough</t>
  </si>
  <si>
    <t>Dr. Jones</t>
  </si>
  <si>
    <t>Smart Cookie</t>
  </si>
  <si>
    <t>Assumed retired with more than three years passing since last activity in February 2011. // Rick Porter posted on the Fox Hill Farms forum in March 2009 that Paper Route will be training under Jeff Runco. // Rick Porter posted on the Fox Hill Farms forum in January 2009: "Paper Route stepped on the back of his foot a while back -- he's just now healed well enough to go back to galloping tomorrow." // Contracted Potomac Fever in the summer of 2008 and recovered. // Half-brother to Strolling Belle (won Ladies H.-G3 twice) // Offered at Fasig-Tipton November Select Mixed Sale -- did not sell. // Offered at 2007 Keeneland September Yearling Sale, consigned by Viking Stud Inc (agent for Clover Hill Farm). Reserve not attained.</t>
  </si>
  <si>
    <t>Robert H. Lloyd</t>
  </si>
  <si>
    <t>Retired and adopted by Lis Schmidt. // Susanne Wöhler reported in January 2013: he had suffered a hairline fracture in July which has now healed well enough for him to begin light training. However, any training now is spotty because of the harsh winter there. // Debut winner on October 31, 2011. // Owned by Racing Darboven and Rennstall Wöhler. // Bought for $55,449 by Ronald Rauscher, agent at the 2010 Baden Sale in Germany.</t>
  </si>
  <si>
    <t>Retired - 2014</t>
  </si>
  <si>
    <t>Retired as of Feb 7, 2014: his connections felt he was not perming as liked in training so decided to retire him. // According to Alastair (Korea Racing): "Smarty Moonhak is not far away from racing. He took part in his official race trial on the morning of May 20 and won by five lengths (in a pretty slow time over five furlongs but times don't really mean anything in these trials). A debut is likely within the next month and you're right, plenty is expected of him." // Exported to Korea. // Bought by Sekye Construction Co. $14,000 at the 2010 Keeneland September Yearling Sale.</t>
  </si>
  <si>
    <t>Was Panama's Horse of the Year in 2012. // Debut winner on January 29, 2012, // Exported. // Bought by J. C. Farm for $11,000 at the 2010 Keeneland September Yearling Sale</t>
  </si>
  <si>
    <t>Half to two stakes-placed runners (Pasta Lover and Dance With Gio)</t>
  </si>
  <si>
    <t>Willa on the Move is a G3 winner and G1 placed and from the immediate family of Will's Way, the G1 winner Willa On The Move and Tizway...  She also has produced a filly (Grecian Maiden) that is a multiple stakes winner. Owned by Peter Angelos, owner of the Baltimore Orioles.</t>
  </si>
  <si>
    <t>Workings Time</t>
  </si>
  <si>
    <t>Venzuela</t>
  </si>
  <si>
    <t>W-VEN, Jan-14</t>
  </si>
  <si>
    <t>Was registered at La Rinconada Race Course in February 2014. // Broodmare, in foal to Smarty Jones, was bought by David Seguias, Agent, for $12,000 at the 2010 Keeneland November Breeding Stock Sale. Last serviced, April 28, 2010.</t>
  </si>
  <si>
    <t>What Else</t>
  </si>
  <si>
    <t>Joseph A. Meyer</t>
  </si>
  <si>
    <t>Lrl</t>
  </si>
  <si>
    <t>Better Life wins Champion Four Year Old and Champion Stayer awards in Singapore! // After winning the Emriates Singapore Derby, Better Life was retired to Australia and will be bred to the stallion, Sebring (AUS). // Bought by William Inglis, as agent, for $138,390 (AUS$150,000) at the 2010 Australian Easter Yearling Sale.</t>
  </si>
  <si>
    <t>SAUDI ARABIA</t>
  </si>
  <si>
    <t>VENEZUELA</t>
  </si>
  <si>
    <t>Assumed retired with more than three years passing since last activity in March 2011. // Bought by Jay Em Ess Stable (Mace Siegel and his daughter, Samantha) for $300,000 at the 2008 Keeneland September Yearling Sale, consigned by Summerfield (Francis and Barbara Vanlangendonck), Agent. // Bought by B. P. N. for $150,000 at the 2007 Keeneland November Breeding Stock Sale, consigned by Three Chimneys Sales, Agent. // She's A Rebel Too (in foal to Smarty Jones) was bought for $210,000 by Jim Wells at the 2006 Keeneland November Breeding Stock Sale.</t>
  </si>
  <si>
    <t>Assumed retired based on three years or more of inactivity since last activity in March 2011. // This is the second foal out of the 2002 Canadian champion grass mare.</t>
  </si>
  <si>
    <t>Dr. &amp; Mrs. Bruce C. Wells, Susan E. Bare, and Jean Walter</t>
  </si>
  <si>
    <t>Mr. &amp; Mrs. Charles McGinnes</t>
  </si>
  <si>
    <t>W%</t>
  </si>
  <si>
    <t>ITM%</t>
  </si>
  <si>
    <t>2/3</t>
  </si>
  <si>
    <t>HONG KONG</t>
  </si>
  <si>
    <t>Larry W. Hayes</t>
  </si>
  <si>
    <t>Summer Jewel</t>
  </si>
  <si>
    <t>Retired on March 21, 2014. // At Seoul Racecourse as of June 2012 and is trained by Choi Sang Sik. Meaning of the name: cheon is a thousand and eog is a million. It's a common phrase  that means: "Worth a billion." // Bought for $50,000 by KOID (Korea) at the 2012 OBS Spring 2YOs in Training Sale.</t>
  </si>
  <si>
    <t>CAN - Vancouver</t>
  </si>
  <si>
    <t>Assumed retired based on 3 years inactivity as of April 2011Bought by V. L. Amour for $8,500 at the 2011 OBS April Sale of 2YOs in Training. Ran a 10.4 furlong in the under tack show on April 13. // Bought by Kings Equine for $4,500 at the 2010 Fasig-Tipton KY Fall Yearlings Sale. // Removed from the 2010 Keeneland September Yearling Sale</t>
  </si>
  <si>
    <t>first gate work</t>
  </si>
  <si>
    <t>TX - San Antonio</t>
  </si>
  <si>
    <t>Haras Gran Derby</t>
  </si>
  <si>
    <t>Robert C. Roffey, Jr.</t>
  </si>
  <si>
    <t>Evangeline</t>
  </si>
  <si>
    <t>Pen</t>
  </si>
  <si>
    <t>Marty Smarty</t>
  </si>
  <si>
    <t>FH</t>
  </si>
  <si>
    <t>Lone Star</t>
  </si>
  <si>
    <t>filly, dkb./br. (MD)</t>
  </si>
  <si>
    <t>Pugnacious</t>
  </si>
  <si>
    <t>Outflanker</t>
  </si>
  <si>
    <t>Jane Gilbert</t>
  </si>
  <si>
    <t>IA - Altoona</t>
  </si>
  <si>
    <t>MD - Baltimore</t>
  </si>
  <si>
    <t>Bought by Kenwood Racing LLC for $40,000 at the 2014 OBS April Sale of 2YOs in Training. // Bought by Gale Rice for $15,000 at the 2013 Keeneland September Sale</t>
  </si>
  <si>
    <t>RUSSIA</t>
  </si>
  <si>
    <t>Clever and Smart</t>
  </si>
  <si>
    <t>Love'sclevertrick</t>
  </si>
  <si>
    <t>Cynthia K. Rickman</t>
  </si>
  <si>
    <t>CAN - Alberta</t>
  </si>
  <si>
    <t>Steeplechase</t>
  </si>
  <si>
    <t>Belterra Park</t>
  </si>
  <si>
    <t>Indiana Grand</t>
  </si>
  <si>
    <t>Assiniboia</t>
  </si>
  <si>
    <t>Updated photo in 2014, shows him looking quite healthy. // Turned in to Second Chance Thoroughbreds in an emaciated condition on October 26, 2011. // Bought for $30,000 by John H. Williams at the 2008 Keeneland September Yearling Sale, consigned by Indian Creek (Dave C. Parrish, Jr.), Agent. Williams raced Summer Doldrums on the Derby Trail in 2007. // This colt is a half-brother to multiple G1 winner, Exotic Wood, and to multiple stakes winner, J. D. and Water. His second dam, Brand of Elegance is half to Champion Cascapedia.</t>
  </si>
  <si>
    <t>Presque Isle</t>
  </si>
  <si>
    <t>Bred to Fast Draw, a full brother to Grand Slam, in 2013. She foaled a colt in May 2014. // Offered at Fasig-Tipton's 2008 Calder Select 2YO in Training Sale, consigned by Niall Brennan Stables, Agent for Razin the Bar Stables. Reserve not met. // Bought for $150,000 by trainer John C. Kimmel, as agent for Razin’ the Bar Stables at Fasig-Tipton's July 2007 Yearling Sales, consigned by Perrone Sales Ltd. // Did not attain reserve of $125,000 at the 2006 Keeneland November sale. // Must Be A Lady (in foal to Smarty Jones) was bought for $375,000 by Copperhead Stable at the 2005 Keeneland November Breeding Stock Sale. // Bred in Kentucky by B. P. Walden and B. M. Kelley</t>
  </si>
  <si>
    <t>Maria M Haire</t>
  </si>
  <si>
    <t>Diane Krasznay</t>
  </si>
  <si>
    <t>Charles C. D. McGill</t>
  </si>
  <si>
    <t>Mary K. Haire</t>
  </si>
  <si>
    <t>Retired in February, 2011. // Returned to racing in August 2010 after 6 months off. // Listed as Sortie Provisoire (training break), as of February 13, 2010. // Exported to France, Smart and Fun is currently in training under the top French trainer, Alain de Royer Dupre. // Bought by Frederic Sauque for $90,000 at 2007 Keeneland September Yearling Sale, consigned by Three Chimneys Sales. // Three Chimneys broodmare manager Tony Burton says, "He's a very nice baby, maybe the best one we've had yet. Good shoulder and hip, good bone, real leggy. Just a really nice colt."</t>
  </si>
  <si>
    <t>Anaylst</t>
  </si>
  <si>
    <t>Everette James</t>
  </si>
  <si>
    <t>Assumed retired with more than three years passing since last activity in June 2011. // Debut winner on March 13, 2010. // Exported to Peru. // Bought by Dante Zanelli, Agent, for $9,000 at the 2008 Keeneland September Yearling Sale, consigned by Warrendale Sales, Agent for Hargus and Sandra Sexton. // Dancing Devlette is a G2 and G3 placed winner and the dam of G3 winner/G2 and G3 placed filly Pratella, who herself is the dam of a multiple graded stakes placed colt by Giant's Causeway named Angliana. Dancing Devlette is also the dam of multiple stakes winner Satan's Code. Her dam Terpsichorist is a G2 and G3 winner and the dam of three stakes horses, and also of the dam of Cheiron. Her second dam, Glad Rags, is a champion and winner of the One Thousand Guineas.</t>
  </si>
  <si>
    <t>Assumed retired with more than three years passing since last activity in June 2011. // Bought by Tim McCanna for $7,000 at the 2008 Keeneland September Yearling Sale, consigned by Bluewater Sales LLC, Agent. McCanna is one of the top trainers in Washington State.</t>
  </si>
  <si>
    <t>MEX - Mexico City</t>
  </si>
  <si>
    <t>R-TT, Jun-14</t>
  </si>
  <si>
    <t>Philippines</t>
  </si>
  <si>
    <t>Note: Records and earnings confirmed, as of June 2014</t>
  </si>
  <si>
    <t>PHILIPPINES</t>
  </si>
  <si>
    <t>Between September 2013 and June 2014, Smart Code has a record of 0-0-3 in 8 starts and unknown earnings. She raced an unknown number of times between January-September 2013. // Jockey Club registration notes that she was exported. A later post to the Smarty Jones FB page indicates she is now in the Philippines. // Sold for $37,000 to Lane's End at the 2010 WTOBA</t>
  </si>
  <si>
    <t>gelding, b. (LA)</t>
  </si>
  <si>
    <t>W-Tdn, Jun-14</t>
  </si>
  <si>
    <t>Scuba Sue</t>
  </si>
  <si>
    <t>Assumed retired based on three or more years of inactivity as of July 2011. // Withdrawn from the 2011 Tattersalls Autumn Sale. // Racing in England.</t>
  </si>
  <si>
    <t>Assumed retired based on three or more years of inactivity as of July 2011.</t>
  </si>
  <si>
    <t>Assumed retired based on three or more years of inactivity as of July 2011. // As of December 2008, Me You and Her is owned by W Hopkins &amp; B Mannello and trained by Jayne Vaders. // As of July 2008, Me You and Her is bred and owned by Wertheimer and Frere and trained by Todd Pletcher. // "We're very pleased with this filly. She's easily the best foal I've seen from this mare. And she's a very active, precocious, bold and curious kind of filly." (Hagyard Farm manager Bill Tite)  // Toi Et Moi (unraced), has produced 2 winners including 2-year old winner, Elle Et Moi. Toi Et Moi is also a half-sister to grade I winners You and I and Chaposa Springs.</t>
  </si>
  <si>
    <t>R-Prx, Jul-14</t>
  </si>
  <si>
    <t>Los Alamitos</t>
  </si>
  <si>
    <t>4/6</t>
  </si>
  <si>
    <t>Lethbridge</t>
  </si>
  <si>
    <t>Street Boy sired a colt (Koribian Boy) in 2012. On July 12, 2014, Koribian Boy made his debut and Street Boy also The Russian name for Street Boy translates to "Street Fight." // Sold for $10,000 to John Black at the 2009 Keeneland September Yearlings Sale. // This colt is a full brother to a Smarty Jones filly, who RNA'd at $475K at the 2007 Keeneland September Sale.  His second dam is Sky Beauty and third dam Maplejinsky.</t>
  </si>
  <si>
    <t>Litlmissmartypants</t>
  </si>
  <si>
    <t>Smarty's Choice</t>
  </si>
  <si>
    <t>Name changed from Sarah Jonesigirl to Smarty's Choice in January 2014. // Broodmare, in foal to Smarty Jones, was removed from the 2010 Keeneland November Breeding Stock Sale.</t>
  </si>
  <si>
    <t>Bought back by her breeder Dell Ridge Farm and bred to Medaglia d'Oro, who is the sire of Violence who is out of Smart Woman's more than half-sister Violent Beauty. // Withdrawn from the 2013 Keeneland January Horses of All Ages Sale (believed to be prgnant by Colonel John). // Offered at 2007 Keeneland September Yearling Sale, consigned by Hill n' Dale Sales Agency. Reserve not attained. // "She's an exceptionally well balanced filly with a tremendous amount of leg. She's an outstanding individual." (Dell Ridge farm manager Des Ryan)</t>
  </si>
  <si>
    <t>Assumed retired/deceased based on three years or more of inactivity, as of May 2010. // Broodmare was bought by Alfred Vardeman for $2,200 at the 2009 Keeneland November Breeding Stock Sale. // Broodmare serviced June 7.</t>
  </si>
  <si>
    <t>Name claim (Jones N for Tale) submitted in June and was rejected for "poor taste or offensive.") // Name claims ("Smart As" and "Caracas") submitted in May 2014 were both rejected by the Jockey Club. // RNA ($27,000) at the 2013 Fasig-Tipton Kentucky Fall Yearlings Sale. // Bought by Orlyana Farm for $13,000 at the 2012 Keeneland November Breeding Stock Sale</t>
  </si>
  <si>
    <t>Bred back to Congrats in 2014. // Bred to Congrats in 2013 and had a colt in 2014. // Missed by a nose in debut race.</t>
  </si>
  <si>
    <t>Bred to Creative cause in 2014. // Bred to Aspen Ridge in 2012. // Respectful is multiple G2 and G3 placed winner of almost $270K and she is full to another winner of over $100K. Her dam is a half-sister to Argentine champion Freddy.</t>
  </si>
  <si>
    <t>Bred to Street Cry in 2014. // Retired following a fifth-place finish in the Mardi Gras Handicap on February 21, 2012. It was announced that she'd be bred to Artie Schiller. // Half-sister to multiple G3 winner Rich In Spirit and full to a yearling colt by Smarty.</t>
  </si>
  <si>
    <t xml:space="preserve">Bred to Street Cry in 2014. // Bred to Tiz Now in 2013. // Was offered but did not sell (RNA at $95,000) at the 2012 Keeneland November Breeding Stock Sale, as a broodmare prospect (in foal to Congrats). // Offered at the 2009 Keeneland November Breeding Stock Sale but was RNA at $385,000. Believed to be pregnant with a foal by Giant's Causeway. // Jelani has been booked to Giant's Causeway for Spring 2009. // Offered at the 2009 Keeneland January Horses of All Ages Sale, but the reserve was not attained on the final $145,000 bid. // Jelani is in training at Fair Hills as of May 2008. // Bought by Eagles Nest Farm (John Gardiner) for $140,000 at the OBS 2008 March Selected Sale of 2YO in Training, consigned by Ricky Leppala, Agent. // Bought by Carl Bowling &amp; Ricky Leppala for $100,000 at 2007 Keeneland September Yearling Sale, consigned by Taylor Made Sales Agency. </t>
  </si>
  <si>
    <t>Bred to Midshipman in 2014. // Bought by Mar Racing Stable for $9,000 in the 2013 OBS Fall Mixed Sale, as a broodmare or racing prospect. // Broodmare was removed from the 2009 Keeneland November Breeding Stock Sale. // Broodmare serviced February 14.</t>
  </si>
  <si>
    <t>Bred to EZ Effort in 2014. // Smarty B was DQ'ed from her stakes win (the Chandler Stakes) on November 17, 2012... reason given was a medication violation. She was placed from 1st to 7th, her winnings of $21,266 were taken away, and she earned $0 for the effort. //Offered at the 2011 Barrett's March Sale of Selected 2YOs in Training, but not sold (high bid of $23,000. // Offered, then withdrawn from the 2010 CTBA Cal Cup Yearling Sale. // Bought for $3,500 by Winchester Stables at the 2010 Keeneland January Horses of All Ages Sale.</t>
  </si>
  <si>
    <t>Penn National Race Course</t>
  </si>
  <si>
    <t>Mountaineer Racetrack</t>
  </si>
  <si>
    <t>Note: Records and earnings confirmed, as of July 2014</t>
  </si>
  <si>
    <t xml:space="preserve">Bred to Albertus Maximus in 2014. // Bought by James English for $85,000 at the 2009 Keeneland September Yearlings Sale. </t>
  </si>
  <si>
    <t>Bred to Point Given in 2014. // Bought by Calumet Farm for $5,000 at the 2014 Keeneland January Horses of All Ages Sale, as a broodmare believed to be pregnant by Courageous Cat. //  Had a Kitten's Joy colt in 2012. // Bought by Kenneth L. and Sarah K. Ramsey for $10,000 at the 2010 Keeneland November Breeding Stock Sale. In foal to War Chant. // Retired to breeding in 2010. // Offered at the 2005 Keeneland November Breeding Stock Sale, consigned by Three Chimney Farms, agent. Removed from sale.</t>
  </si>
  <si>
    <t>Bred to Point Given in 2014. // Bought by Calumet Farm for $37,000 at the 2014 Keeneland January Horses of All Ages Sale, as a broodmare believed to be pregnant by Super Saver. //  Bred to Super Saver in 2013. // Bought for $35,000 by Fred W. Hertrich at the 2013 Keeneland January Horses of All Ages Sale (believed to be prgnant by Cowboy Cal). // Withdrawn from the 2012 Fasig-Tipton Kentucky Winter Mixed Sale, offered as a broodmare. // Bought by Becky Davis for $10,000 at the 2008 Fasig-Tipton Eastern Fall Yearling Sale. // Kimonina is the dam of Shashobegon (who had a Smarty filly earlier this year and was bred back to Smarty for next year) as well as stakes winner Polish Miss. Her winning daughter, She Whistled, is the dam of recent multiple stakes winner Heart Throbbin'. All of her foals are winners.</t>
  </si>
  <si>
    <t>Bred to Point Given in 2014. // Sold for $90,000 to Calumet Farm at the 2014 Keeneland January Horses of All Ages Sale, as a broodmare believed to be pregnant by To Honor and Serve. //  Bred to To Honor and Serve. // Mulitple names submitted on 1/31: Clever, Hellion, Chicest, and Most Chic. // Bought by Morgan's Ford Farm for $19,000 at the 2011 Keeneland September Yearling Sale. // Offered at the 2010 Keeneland November Breeding Stock Sale, but did not sell (RNA at $18,000).</t>
  </si>
  <si>
    <t>2nd best</t>
  </si>
  <si>
    <t>OLDEST SMARTY TO WIN A RACE</t>
  </si>
  <si>
    <t>Win Date</t>
  </si>
  <si>
    <t>Details (Track, Race, Class)</t>
  </si>
  <si>
    <t>Age (Days)</t>
  </si>
  <si>
    <t>Bred to Uncle Mo in 2014. // Was pulled up in the stretch in a race on November 28, 2012.  // Reported to have returned to training at the end of February 2010. // Natalie Servis reports that Smarty Bull had to have a minor ankle surgery and is expected back in training by the end of fall. // Debut winner in February 2009. // As of October 2008, trained by Jason Servis and owned by Dennis Drazin, who owns and raced Smarty Bull's dam, Bam Bam Bull. Bam Bam Bull had four wins in eight starts, including a maiden victory at Monmouth and a stakes score at the Meadowlands. // Offered at 2007 Keeneland September Yearling Sale, consigned by Three Chimneys Sales. Reserve not attained. // "Very nice foal, correct, lots of quality about her -- the kind that makes you look twice." (Old Bradley Place manager, Richie Donworth)</t>
  </si>
  <si>
    <t>Bred to Power Broker in 2014. // Bought for $50,000 by Ben Glass, agent, at the 2014 OBS Winter Mixed Sale, believed to be in foal to Wildcat Heir. She's in the Consignor Preferred Sale. // Sarah Cataldo was sold as a broodmare to a farm in Florida in October 2011, being bred to Wildcat Heir. // Sarah Cataldo was a debut winner on April 1, 2009. Mescalina, has now produced 7 foals and 7 winners, including Love of Money who won the PA Derby. Sarah was bred by Dr. Tom Bowman, Tom Sutton, Milton Higgins, and Patricia Chapman. // Sarah Cataldo is in training at Two Legends Farm as of may 2008.  //  Bought by Milton P. Higgins III for $110,000 at the 2007 Fasig-Tipton Eastern Fall Yearlings Sale, consigned by Becky Davis, Inc., Agent. // "Nice big filly -- indeed quite large, with a lot of bone and correct -- straight as a dollar," says owner Tom Bowman. "She's been precocious -- up and nursing in ten minutes and just bounces along everywhere. I don't think we've seen her at a flat walk yet," he said on the day after she was born.</t>
  </si>
  <si>
    <t>Bred to Uncle Mo in 2014. // Bred to Kitten's Joy in 2013 and delivered a colt in 2014. // Had a Scat Daddy colt in 2013. // Had a filly by Rock Hard Ten in 2012. // Was removed from the Keeneland 2011 January Horses of All Ages Sale, as a broodmare or racing prospect. // Bought by Caorlyn Vogel for $190,000 at the 2008 Keeneland September Yearling Sale, consigned by Three Chimneys Sales, Agent for Stonestreet Thoroughbred Holdings LLC. // Half-sister to Too Much Bling</t>
  </si>
  <si>
    <t>Bred to Passion for Gold in 2014. // Bred to Awesome of Course in 2013. Had a filly by Leroidesanimoux in 2012. // Withdrawn from the 2013 OBS Winter Mixed Sale. // Withdrawn from the 2012 OBS Winter Mixed Sale.</t>
  </si>
  <si>
    <t>YOUNGEST SMARTY TO WIN A RACE</t>
  </si>
  <si>
    <t>Bred to Silent Name in 2014. // Bought by Buttigieg Training Centre (Ontario CAN) for $35,000 at the 2014 Keeneland January Horses of All Ages Sale, as a broodmare believed to be pregnant by Blugrass Cat. //  Bought for $16,000 by Springdell Farm LLC at the 2013 Fasig-Tipton Saratoga Fall Mixed and Horses of Racing Age Sale, in foal to Bluegrass Cat. // Bred to Bluegrass Cat in 2013. // Had a colt by Summer Bird, foaled 26-April-13 by breeder, WinStar Farm LLC. // Trained by Chuck Simon, as of January 2011. // Bought back by Three Chimneys Farm, Agent, for $42,000 at the 2008 Keeneland November Breeding Stock Sale. // This filly is out of a stakes winner and half to G1 winner Bevo and G3 winner Moonlight Sonata, and full to Nafath, a Smarty Jones colt (b. 2/3/2006), bought for $425K as a weanling by Shadwell.</t>
  </si>
  <si>
    <t>Graded stakes</t>
  </si>
  <si>
    <t>Bred to Hunt Crossing in 2014. // Removed from the 2010 Fasig-Tipton KY Fall Yearlings Sale. // Removed from the 2010 Keeneland September Yearling Sale. // Withdrawn from the 2009 Keeneland November Breeding Stock Sale.</t>
  </si>
  <si>
    <t>Manicure</t>
  </si>
  <si>
    <t>William R. Gotwals</t>
  </si>
  <si>
    <t>Grand Prairie</t>
  </si>
  <si>
    <t>Look Deep</t>
  </si>
  <si>
    <t>Petionville</t>
  </si>
  <si>
    <t>Nasa</t>
  </si>
  <si>
    <t>Name claim (Mrs. Jones) rejected, on 7/30/14, as too similar to current name (Miss Jones). // Withdrawn from the 2014 OBS April Sale of 2YOs in Training. // Bought for $20,000 by Jeanne Mayberry at the 2013 Fasig-Tipton Midlantic Yearling Sale</t>
  </si>
  <si>
    <t>Reproduction was bred to Tiz Wonderful in 2014. // Reproduction was advertised for adoption out of a Marysville OH rescue facility in April 2013.</t>
  </si>
  <si>
    <t>R-RUS, Aug-14</t>
  </si>
  <si>
    <t>Maria's Court</t>
  </si>
  <si>
    <t>Colette</t>
  </si>
  <si>
    <t>filly, dkb./br. (PA)</t>
  </si>
  <si>
    <t>Northview Stallion Station</t>
  </si>
  <si>
    <t>Worked once in January, 2014, then retired and bred to Roll Hennessy Roll.</t>
  </si>
  <si>
    <t xml:space="preserve">Bred to Redeemed in 2014. // Off between Aug-12 and Jun-13. // Bought by Sandra Bonnell for $4,200 at the 2009 Fasig-Tipton Eastern Yearlings Sale. Sandra is a breeder based in Massachusetts. </t>
  </si>
  <si>
    <t>Bred to War Front in 2014. // Bought by Equus Farm/Paul Adams for $9,000 at the Keeneland November Sale. Believed to be in foal to Discretely Mine in 2010. // Retired to breeding in 2010. // Removed from the 2008 Keeneland September Yearling Sale, consigned by Lane's End, Agent. // Pure Speed has produced two stakes winners, one a G2 winner, and both fillies. Round Table is her broodmare sire.</t>
  </si>
  <si>
    <t>Bred to Tapit son Rattlesnake Bridge in 2014. // Bred to Put It Back in 2013. // "A really nice, pretty foal. She's put together very well, has a very attractive head and is actually a smart looking and acting little baby." (Summerhill Farm manager Jo Brown)</t>
  </si>
  <si>
    <t>Bred to Flat Out in 2014. // Bred to Missionimpazible in 2013. // A source reports that Procellous is booked to Big Brown for 2010. Bought by Saratoga Glen Farm for $12,000 at the 2008 Keeneland November Breeding Stock Sale. // Half-sister to Exogenus (won Beldame S.-G1, Gazelle H.-G1)</t>
  </si>
  <si>
    <t>gelding, dkb./b. (PA)</t>
  </si>
  <si>
    <t>Gelded in August 2014.</t>
  </si>
  <si>
    <t>Gelded in August 2014. // First 2YO Smarty runner in 2014. // Bought for $2,500 to Ken Rexroth at the 2013 Fasig-Tipton Midlantic Yearling Sale</t>
  </si>
  <si>
    <t>Bought for $7,000 by Tae Yul Woo at the 2014 OBS August Yearling Sale.</t>
  </si>
  <si>
    <t>Assumed retired due to inactivity since Septmebr 2011. // Offered at the 2008 Keeneland September Yearling Sale, consigned by Denali Stud (Craig and Holly Bandoroff), Agent for Bridlewood Farm.  Reserve not attained. // Quiet Down is a half-sister to G2 placed Najecam (the dam of champion, Action This Day) as well as to stakes placed Lady Ilsley (the dam of stakes winner/G2 placed Lord Admiral).  Quiet Down is stakes placed herself and her second dam, Bitty Girl, is an English Champion, and this is the immediate family of Parade Queen and her daughter Untouched Talent.</t>
  </si>
  <si>
    <t>Assumed retired due to inactivity since Septmebr 2011. //  Bought for US$992 (600 guineas) by Tom Dickinson at the Brightwells Ascot October Sales. // Bought by Paul Midgley for 3,000 guineas ($4,956) at the 2011 Tattersalls July Sale for Horses of Racing Age. // Exported to Great Britain. // Bought by Jeremy Glover for 21,000 Guineas ($87,731 USD @ 4.177 GNF/USD) at the 2008 Tattersalls December Yearling Sale. // Offered at the 2008 Keeneland September Yearling Sale, consigned by Runnymede Farm, Inc. (Catesby W. Clay), Agent. Reserve not attained. // Half to Greeley's Galaxy.</t>
  </si>
  <si>
    <t>Assumed retired with more than three years passing since last activity in September 2011. //  Removed from the 2011 Keeneland September Yearling Sale. // Removed from the 2010 Keeneland November Breeding Stock Sale.</t>
  </si>
  <si>
    <t>Withdrawn from the 2014 Keeneland September Yearling Sale.</t>
  </si>
  <si>
    <t>Assumed retired/deceased based on three years or more of inactivity, as of June 2010. Jockey Club listed: "Registration Cancelled."</t>
  </si>
  <si>
    <t xml:space="preserve">Clark Hanna reports that Smarter Than Ever could not get back to racing form after an injury in 2012 and was retired--given to a good home. // According to Kerri Hanna, wife of trainer Clark Hanna, Smarter Than Ever is in training at Churchill Downs (as of July 2010) and "probably will not start before the fall." // Bought by Clark Hanna/D. Burge for $22,000 at the 2009 Keeneland September Yearlings Sale. </t>
  </si>
  <si>
    <t>R-VEN, Sep-14</t>
  </si>
  <si>
    <t>Madame Curie</t>
  </si>
  <si>
    <t>Now owned by Lorey Gillam; she's a pleasure horse. // Retired to Pure Thoughts, a non-profit retirement facility, in February 2011. // Withdrawn from the Fasig-Tipton 2009 NY Bred Preferred Yearlings Sale.</t>
  </si>
  <si>
    <t>R-Cmr, Sep-14</t>
  </si>
  <si>
    <t>first published work</t>
  </si>
  <si>
    <t>Albuquerque</t>
  </si>
  <si>
    <t>Elizabeth B. Barr</t>
  </si>
  <si>
    <t>Assumed retired based on three or more years of inactivity as of October 2011. // This filly has a full brother in another Smarty Jones foal (b. 4/3/2007).  Her dam is a multple stakes placed winner whose one foal to race is stakes placed.  And this filly has the same third dam (Dream Harder) as Proud Spell, and is from the same Gone West sireline.</t>
  </si>
  <si>
    <t>Offered, but did not sell (RNA, $8,500), at the 2014 Fasig-Tipton Midlantic September Yearling Sale.</t>
  </si>
  <si>
    <t>Bought by Karen Benshoff for $15,000 at the 2014 Fasig-Tipton Midlantic September Yearling Sale.</t>
  </si>
  <si>
    <t>Bought by Dale Capuano for $36,000 at the 2014 Fasig-Tipton Midlantic September Yearling Sale. // Broodmare was bought by Avla Pitts for $5,700 at the 2012 Fasig-Tipton Midlantic December Mixed Sale, believed to be pregnant. // Serviced April 22, 2012.</t>
  </si>
  <si>
    <r>
      <rPr>
        <b/>
        <sz val="9"/>
        <rFont val="Arial"/>
        <family val="2"/>
      </rPr>
      <t>NOTE</t>
    </r>
    <r>
      <rPr>
        <sz val="9"/>
        <rFont val="Arial"/>
        <family val="2"/>
      </rPr>
      <t>: Chart does not include the Uruguay/South America foals from 2012-2014</t>
    </r>
  </si>
  <si>
    <t>5/7</t>
  </si>
  <si>
    <t>R-Mex, Sep-14</t>
  </si>
  <si>
    <t/>
  </si>
  <si>
    <t>XX</t>
  </si>
  <si>
    <t>W. S. Farish &amp; Kilroy Thoroughbred Partnership</t>
  </si>
  <si>
    <t>Slew o' Gold</t>
  </si>
  <si>
    <t>Gracie Jones</t>
  </si>
  <si>
    <t>Mercedes Stables LLC</t>
  </si>
  <si>
    <t>Roy V. Chapman Rev. Trust</t>
  </si>
  <si>
    <t>Dell Ridge Farm</t>
  </si>
  <si>
    <t>Michael Lynch</t>
  </si>
  <si>
    <t>Mt. Brilliant Farm LLC</t>
  </si>
  <si>
    <t>Gulf Coast Farms LLC</t>
  </si>
  <si>
    <t>Louise &amp; G. Watts Humphrey, Jr.</t>
  </si>
  <si>
    <t>Double Threat</t>
  </si>
  <si>
    <t>Arthur I. Appleton</t>
  </si>
  <si>
    <t>Fontainebleau Farm</t>
  </si>
  <si>
    <t>Mr. &amp; Mrs. Leverett Miller &amp; Patricia L. Chapman</t>
  </si>
  <si>
    <t>Silver Echo</t>
  </si>
  <si>
    <t>Eastern Echo</t>
  </si>
  <si>
    <t>Dr. K.K. Jayaraman, Dr. V.D. Jayaraman &amp; Roy V. Chapman Rev. Trust</t>
  </si>
  <si>
    <t>Gaines-Gentry Thoroughbreds &amp; S&amp;H Thoroughbreds, LLC</t>
  </si>
  <si>
    <t>R-Suf, Oct-14</t>
  </si>
  <si>
    <t>Grecian Prince</t>
  </si>
  <si>
    <t>VA - Charlottesville</t>
  </si>
  <si>
    <t>Bought for $45,000 by Calumet Farm at the 2014 Fasig-Tipton Kentucky October Yearling Sale. // Broodmare sold privately for $8,000 while in foal to Smarty Jones in September 2012 [http://www.starquine.com/category/196/Broodmares-Prospects/listings/1314/Broodmare-in-foal-to-SMARTY-JONES.html].</t>
  </si>
  <si>
    <t>S-Ret, Oct-14</t>
  </si>
  <si>
    <t>NM - Albuqurque</t>
  </si>
  <si>
    <t>When Suffolk closed in 2014 and he ended up at Mountaineer with new connection: owner Kim Scneider and trainer Danny Bird. // Withdrawn from the 2011 OBS June Sale of Two-Year-Olds and Horses of Racing Age. // Removed from the 2011 OBS April Sale of 2YOs in Training. // Sold for $2,000 to Twin Stars Racing Stables, agent, at the 2010 OBS August Yearling Sale. // Sold for $5,700 to Solera Farm at the 2009 Keeneland November Breeding Stock Sale.</t>
  </si>
  <si>
    <t>Assumed retired on the basis of three years of inactivitiy dating back to November 2011. // Foaled in Japan. This is one of the best foals at our farm, said Dr. Masatake Iida, owner of Chiyoda Farm in Japan. Sold bought by Yoshimi Ichikawa for $557,000 at Japan Select Sales.</t>
  </si>
  <si>
    <t>Assumed retired on the basis of three years of inactivitiy dating back to November 2011. // Bought by Chad Schumer, Agent for $3,500 at the 2009 Keeneland January Horses of All Ages Sale.</t>
  </si>
  <si>
    <t>Smart Russian</t>
  </si>
  <si>
    <t>Smart Like a Fox</t>
  </si>
  <si>
    <t>Clark's Harbor</t>
  </si>
  <si>
    <t>Kay's Khrome</t>
  </si>
  <si>
    <t>Bought by Hoi Fung for $95,000 at the 2014 Keeneland November Breeding Stock Sale. // Removed from the 2012 Keeneland November Breeding Stock Sale, as a broodmare prospect (in foal to Sky Mesa). // Offered at the 2010 Keeneland January Horses of All Ages Sale, but did not sell (RNA at $70,000). Reported to be in foal to Sky Mesa. // According to the broodmare manager at Three Chimneys, Anchors Away was a "disaster filly," born premature and always had various issues. She was put into early training and was said to have had talent, but she just wasn't sound enough to race. Anchors Away was retired at Three Chimneys for the start of the 2009 breeding season-- she is in foal to Sky Mesa as of June 2009. // Anchors Away is a half-sister to Eight Belles, the filly who finished second in the 2008 Kentucky Derby and was euthanized after breaking both ankles after the race. // '"This is a nice leggy filly with nice shoulder and hip." (Three Chimneys broodmare manager, Tony Burton)</t>
  </si>
  <si>
    <t>Bought by White Cloud Bloodstock for $50,000 at the 2014 Keeneland November Breeding Stock Sale. // Bred to Awesome Again in 2014. // In December, Leland Hayes announced that he's got C@7 for sale as a broodmare prospect for $7,500. // Leland Hayes previously reported that Cocktails at Seven will be turned out for the winter of 2013-14 and then brought back in February to train at PID. The plan is to race her one more season and then retire her for breeding. //  A report circulated that she was retired in 2011, however, she resumed training in April 2012. // Bought by Leland Hayes for $5,000 at the 2012 OBS Winter Mixed Sale, as a broodmare prospect. // This filly is out of a stakes winner and is half to stakes winner Trainee.  Her second dam Lonely Girl is a stakes winning/G2 placed full sister to BC winner One Dreamer and has a 2YO Smarty filly named Smart N Lonely.</t>
  </si>
  <si>
    <t>R-Pen, Nov-14</t>
  </si>
  <si>
    <t>Miss Manatee</t>
  </si>
  <si>
    <t>Sassy Sara</t>
  </si>
  <si>
    <t>Retired</t>
  </si>
  <si>
    <t>Color Code</t>
  </si>
  <si>
    <t>Smart Alex</t>
  </si>
  <si>
    <t>10/17</t>
  </si>
  <si>
    <t>Bobbysluckyseven</t>
  </si>
  <si>
    <t>Keystone Jones</t>
  </si>
  <si>
    <t>Keystone Dancer</t>
  </si>
  <si>
    <t>Dance With Ravens</t>
  </si>
  <si>
    <t>My Cotton Jones</t>
  </si>
  <si>
    <t>Cotton Anne</t>
  </si>
  <si>
    <t>Pioneering</t>
  </si>
  <si>
    <t>Smart Girls Rock</t>
  </si>
  <si>
    <t>My Girls Rock</t>
  </si>
  <si>
    <t>Ysabell T.</t>
  </si>
  <si>
    <t>Gators n Bears</t>
  </si>
  <si>
    <t>Smarty Moon</t>
  </si>
  <si>
    <t>Sly Moon</t>
  </si>
  <si>
    <t>No registered foal from Mating</t>
  </si>
  <si>
    <t>Lite Write</t>
  </si>
  <si>
    <t>Benton Creek</t>
  </si>
  <si>
    <t>Leebearski</t>
  </si>
  <si>
    <t>Golden Number</t>
  </si>
  <si>
    <t>Gold Case</t>
  </si>
  <si>
    <t>Barbi Lima</t>
  </si>
  <si>
    <t>Bandini</t>
  </si>
  <si>
    <t>Ocean Road</t>
  </si>
  <si>
    <t>War Front</t>
  </si>
  <si>
    <t>Miquel Lima</t>
  </si>
  <si>
    <t>Helga Nemeth</t>
  </si>
  <si>
    <t>Donna Tullner and Stephen Glesser</t>
  </si>
  <si>
    <t>T. L. Wise</t>
  </si>
  <si>
    <t>The Posse</t>
  </si>
  <si>
    <t>Donald Clifford Wilson</t>
  </si>
  <si>
    <t>John Royer Family Stables</t>
  </si>
  <si>
    <t>Smart Royal T</t>
  </si>
  <si>
    <t>Lyndley Turnbull</t>
  </si>
  <si>
    <t>Blue Diamond Horseshoe</t>
  </si>
  <si>
    <t>Bred to Harbinger in 2014. // Bred to Grass Wonder in 2011 and 2012. // Bred to Admiral Cozzene in 2010. // Retired in March 2010. Will be bred by owner, Shadai Farm, in Japan. // Bred and owned by Shadai Farm and they're keeping her to race. Out of G1 stakes winner of $5.9 million who was the champion 3-year-old filly and champion older mare in Japan and is a full sister to champions Dance In the Mood and Dance In the Dark.</t>
  </si>
  <si>
    <t>DE - Wilmington</t>
  </si>
  <si>
    <t>14/14</t>
  </si>
  <si>
    <t>Tom McMenamin</t>
  </si>
  <si>
    <t>Original breeder listed as Elizabeth R. Houghton</t>
  </si>
  <si>
    <t>Was rescued from Parx by Vickie Vilchek in November 2014. A vet check showed he had been only able to be hand-walked for a month and no cartillage in left front. Prognosis unknown at that time. Update (12/1/14): xrays showed his ankle is gone (100% bone on bone) so it was decided that it was in the best interest of No Equipment to have him humanely euthanized, which will occur next week.  // Reportedly retired in 2012… returns with workout in May 2013. // Debut winner on February 22, 2010. // Owned and bred by S. J. Thoroughbreds LLC.</t>
  </si>
  <si>
    <t>Died - 2014</t>
  </si>
  <si>
    <t>Christina Goldy adopted a horse from a NJ rescue organization and, after watching race replays, is 95% certain her gelding is Decisively. // Assumed retired based on three years or more of inactivity, as of May 2010. // Removed from the 2009 OBS March Selected Sale of Two-Year-Olds in Training. // Offered at the 2008 Keeneland September Yearling Sale, consigned by Denali Stud (Craig and Holly Bandoroff), Agent for North Wales, LLC.  Reserve not attained.  // Half to Seductively and from the family of Marquetry, Five Star Day, You.</t>
  </si>
  <si>
    <t>Fahad Mutlaq S. Alussemi</t>
  </si>
  <si>
    <t>Hooligans</t>
  </si>
  <si>
    <t>Mare serviced November 3, 2011.</t>
  </si>
  <si>
    <t>Slap Jack</t>
  </si>
  <si>
    <t>Wallonie (BRZ)</t>
  </si>
  <si>
    <t>Mare serviced November 10, 2011. Not pregnant.</t>
  </si>
  <si>
    <t>Victoria's Pride (BRZ</t>
  </si>
  <si>
    <t>Solysombra (URU)</t>
  </si>
  <si>
    <t>Not verified.</t>
  </si>
  <si>
    <t>Siphonete Glory (BRZ)</t>
  </si>
  <si>
    <t>Queen Gipsy (BRZ</t>
  </si>
  <si>
    <t>Jacqueline D'Ora (BRZ)</t>
  </si>
  <si>
    <t>Mare serviced October 20, 2011.</t>
  </si>
  <si>
    <t>Imperial Palm (BRZ)</t>
  </si>
  <si>
    <t>Tokatee</t>
  </si>
  <si>
    <t>Gandia (BRZ)</t>
  </si>
  <si>
    <t>Franchella (ARG)</t>
  </si>
  <si>
    <t>Mare serviced December 2, 2011.</t>
  </si>
  <si>
    <t>Ecoute Moi (BRZ)</t>
  </si>
  <si>
    <t>Mare serviced September 17, 2011.</t>
  </si>
  <si>
    <t>Roy</t>
  </si>
  <si>
    <t>East River (BRZ)</t>
  </si>
  <si>
    <t>Mare serviced December 6, 2011.</t>
  </si>
  <si>
    <t>Concerto de Gala (BRZ)</t>
  </si>
  <si>
    <t>African Top (URU)</t>
  </si>
  <si>
    <t>G. G.</t>
  </si>
  <si>
    <t>Meterete (URU)</t>
  </si>
  <si>
    <t>Mete Tormenta (URU)</t>
  </si>
  <si>
    <t>filly, b. (URU)</t>
  </si>
  <si>
    <t>Tormenta Jones</t>
  </si>
  <si>
    <t>Don Valentin</t>
  </si>
  <si>
    <t>Lode</t>
  </si>
  <si>
    <t>Warsaw (ARG)</t>
  </si>
  <si>
    <t>Temeraria</t>
  </si>
  <si>
    <t>El Surco</t>
  </si>
  <si>
    <t>Ride the Rails</t>
  </si>
  <si>
    <t>Profit Girl (URU)</t>
  </si>
  <si>
    <t>Suprema</t>
  </si>
  <si>
    <t>Siga Siga</t>
  </si>
  <si>
    <t>Aly's Alley</t>
  </si>
  <si>
    <t>Snow Alley (URU)</t>
  </si>
  <si>
    <t>Snowlight</t>
  </si>
  <si>
    <t>Mare serviced September 29, 2011.</t>
  </si>
  <si>
    <t>Haras La Virginia</t>
  </si>
  <si>
    <t>Giant Gentleman</t>
  </si>
  <si>
    <t>Khiuani (BRZ)</t>
  </si>
  <si>
    <t>colt, b. (URU)</t>
  </si>
  <si>
    <t>Smaruani</t>
  </si>
  <si>
    <t>Los Tientos SPC</t>
  </si>
  <si>
    <t>Gulpha Gorge</t>
  </si>
  <si>
    <t>Liria (URU)</t>
  </si>
  <si>
    <t>filly, ch. (URU)</t>
  </si>
  <si>
    <t>Smarty Girl</t>
  </si>
  <si>
    <t>Prados del Este</t>
  </si>
  <si>
    <t>First American</t>
  </si>
  <si>
    <t>First Song (BRZ)</t>
  </si>
  <si>
    <t>Smarty Gem</t>
  </si>
  <si>
    <t>Fitzcarraldo</t>
  </si>
  <si>
    <t>Dozir Fitz (BRZ)</t>
  </si>
  <si>
    <t>colt, ch. (URU)</t>
  </si>
  <si>
    <t>Smarty Fitz</t>
  </si>
  <si>
    <t>Choctaw Ridge</t>
  </si>
  <si>
    <t>Loyal Alliance (BRZ)</t>
  </si>
  <si>
    <t>filly, dkb./b. (URU)</t>
  </si>
  <si>
    <t>Smarty Baby</t>
  </si>
  <si>
    <t>Pablo Cabral</t>
  </si>
  <si>
    <t>Huaquero (ARG)</t>
  </si>
  <si>
    <t>Huana (URU)</t>
  </si>
  <si>
    <t>filly (URU)</t>
  </si>
  <si>
    <t>Smart Princess</t>
  </si>
  <si>
    <t>Mare serviced November 26, 2011.</t>
  </si>
  <si>
    <t>Sagamix (FRA)</t>
  </si>
  <si>
    <t>Nicaragua (BRZ)</t>
  </si>
  <si>
    <t>Sandinista</t>
  </si>
  <si>
    <t xml:space="preserve">Mare serviced August 23, 2011. </t>
  </si>
  <si>
    <t>El Norteno</t>
  </si>
  <si>
    <t>Paulie Lady (BRZ)</t>
  </si>
  <si>
    <t>colt (URU)</t>
  </si>
  <si>
    <t>Royal West</t>
  </si>
  <si>
    <t>Francisco Gallinal y Carlos Garcia Arocena</t>
  </si>
  <si>
    <t>Demonstrado (ARG)</t>
  </si>
  <si>
    <t>Deshesa (URU)</t>
  </si>
  <si>
    <t>Protagontista</t>
  </si>
  <si>
    <t>Mare serviced September 3, 2011.</t>
  </si>
  <si>
    <t>Don Victor</t>
  </si>
  <si>
    <t>Blue Stag (GB)</t>
  </si>
  <si>
    <t>Intisab (BRZ)</t>
  </si>
  <si>
    <t>My Birthday</t>
  </si>
  <si>
    <t>Haras Cuatro Piedras</t>
  </si>
  <si>
    <t>Our Emblem</t>
  </si>
  <si>
    <t>Ragazza Mia (BRZ)</t>
  </si>
  <si>
    <t>Hummer</t>
  </si>
  <si>
    <t>Mare serviced August 6, 2011.</t>
  </si>
  <si>
    <t>Magical Mile</t>
  </si>
  <si>
    <t>Explode Coracao (BRZ)</t>
  </si>
  <si>
    <t>Humberto Primo</t>
  </si>
  <si>
    <t>Mare serviced September 12, 2011.</t>
  </si>
  <si>
    <t>Monday Morning (ARG)</t>
  </si>
  <si>
    <t>Hugo Boss</t>
  </si>
  <si>
    <t>Mare serviced November 10, 2011.</t>
  </si>
  <si>
    <t>Reyna Austera (BRZ)</t>
  </si>
  <si>
    <t>Huérfana</t>
  </si>
  <si>
    <t>Pena Maxima</t>
  </si>
  <si>
    <t>Hoy Juega Hoy</t>
  </si>
  <si>
    <t>Soberbo (BRZ)</t>
  </si>
  <si>
    <t>Little Julia (BRZ)</t>
  </si>
  <si>
    <t>Mare serviced October 26, 2011.</t>
  </si>
  <si>
    <t>Interprete (ARG)</t>
  </si>
  <si>
    <t>Imagin (ARG)</t>
  </si>
  <si>
    <t>Hoofer</t>
  </si>
  <si>
    <t>Mare serviced November 20, 2011.</t>
  </si>
  <si>
    <t>Get Funny (BRZ)</t>
  </si>
  <si>
    <t>Honoris Causa</t>
  </si>
  <si>
    <t>Mare serviced August 4, 2011.</t>
  </si>
  <si>
    <t>Came Home</t>
  </si>
  <si>
    <t>Beautiful Venue</t>
  </si>
  <si>
    <t>Homero Simpson</t>
  </si>
  <si>
    <t>Mare serviced October 3, 2011.</t>
  </si>
  <si>
    <t>Midnight Tiger</t>
  </si>
  <si>
    <t>Armadihla Grega (BRZ)</t>
  </si>
  <si>
    <t>Historiadora</t>
  </si>
  <si>
    <t>Mare serviced August 18, 2011.</t>
  </si>
  <si>
    <t>American Gipsy</t>
  </si>
  <si>
    <t>Nochera (BRZ)</t>
  </si>
  <si>
    <t>Hisham</t>
  </si>
  <si>
    <t>Ayrton S</t>
  </si>
  <si>
    <t>So China Sea (BRZ)</t>
  </si>
  <si>
    <t>Mare serviced August 10, 2011.</t>
  </si>
  <si>
    <t>Ski Champ</t>
  </si>
  <si>
    <t>Diablera (BRZ)</t>
  </si>
  <si>
    <t>colt, dkb./br. (URU)</t>
  </si>
  <si>
    <t>Hiroaki</t>
  </si>
  <si>
    <t>Mare serviced November 22, 2011.</t>
  </si>
  <si>
    <t>Señor Pete</t>
  </si>
  <si>
    <t>For Fun (ARG)</t>
  </si>
  <si>
    <t>Hipócrita</t>
  </si>
  <si>
    <t>Mare serviced September 14, 2011.</t>
  </si>
  <si>
    <t>El Gran Señor</t>
  </si>
  <si>
    <t>Señora de Mayo</t>
  </si>
  <si>
    <t>Hipnotizada</t>
  </si>
  <si>
    <t>Jules</t>
  </si>
  <si>
    <t>Marie Antoinette (BRZ)</t>
  </si>
  <si>
    <t>Hilmar</t>
  </si>
  <si>
    <t>Mare serviced September 4, 2011.</t>
  </si>
  <si>
    <t>Gem Master</t>
  </si>
  <si>
    <t>Garmish (ARG)</t>
  </si>
  <si>
    <t>Juan Ripoll</t>
  </si>
  <si>
    <t>Numerous</t>
  </si>
  <si>
    <t>Miss Semblach (ARG)</t>
  </si>
  <si>
    <t>Halo Sunshine</t>
  </si>
  <si>
    <t>Villiers (ARG)</t>
  </si>
  <si>
    <t>Hija Atrevida</t>
  </si>
  <si>
    <t>Mare serviced September 20, 2011.</t>
  </si>
  <si>
    <t>Trampoline</t>
  </si>
  <si>
    <t>Jackie O (BRZ)</t>
  </si>
  <si>
    <t>Higuain</t>
  </si>
  <si>
    <t>Pure Prize</t>
  </si>
  <si>
    <t>Nice Inheritance</t>
  </si>
  <si>
    <t>Hideandseek</t>
  </si>
  <si>
    <t>Mare serviced November 23, 2011.</t>
  </si>
  <si>
    <t>Royal Campeira (BRZ)</t>
  </si>
  <si>
    <t>Heysoulsister</t>
  </si>
  <si>
    <t>Grab the Prize</t>
  </si>
  <si>
    <t>Hey Jude</t>
  </si>
  <si>
    <t>Greenish Star</t>
  </si>
  <si>
    <t>Hessenheffer</t>
  </si>
  <si>
    <t>Mare serviced September 19, 2011.</t>
  </si>
  <si>
    <t>Ringaro</t>
  </si>
  <si>
    <t>Cockroach (ARG)</t>
  </si>
  <si>
    <t>Hernandarias</t>
  </si>
  <si>
    <t>Mare serviced October 18, 2011.</t>
  </si>
  <si>
    <t>Lilac Dream (BRZ)</t>
  </si>
  <si>
    <t>Helmuth</t>
  </si>
  <si>
    <t>Mare serviced August 3, 2011.</t>
  </si>
  <si>
    <t>Acquatico (URU)</t>
  </si>
  <si>
    <t>Betty La Fea (URU)</t>
  </si>
  <si>
    <t>Hello Kitty</t>
  </si>
  <si>
    <t>Balakirev (CAN)</t>
  </si>
  <si>
    <t>Bambina (URU)</t>
  </si>
  <si>
    <t>Hegel</t>
  </si>
  <si>
    <t>Easing Along</t>
  </si>
  <si>
    <t>Garote de Ipenema (BRZ)</t>
  </si>
  <si>
    <t>Hawaiana</t>
  </si>
  <si>
    <t>Mare serviced October 24, 2011.</t>
  </si>
  <si>
    <t>Spring Halo (ARG)</t>
  </si>
  <si>
    <t>Golden Darling</t>
  </si>
  <si>
    <t>Havana Cuba</t>
  </si>
  <si>
    <t>Sekari (GB)</t>
  </si>
  <si>
    <t>Fontemar (URU)</t>
  </si>
  <si>
    <t>Hasmig</t>
  </si>
  <si>
    <t>La Mora (BRZ)</t>
  </si>
  <si>
    <t>Harry Houdini</t>
  </si>
  <si>
    <t>Mare serviced November 12, 2011.</t>
  </si>
  <si>
    <t>Parochial</t>
  </si>
  <si>
    <t>Coy Sister (ARG)</t>
  </si>
  <si>
    <t>Harpagon</t>
  </si>
  <si>
    <t>Mare serviced August 15, 2011.</t>
  </si>
  <si>
    <t>Adriatic (URU)</t>
  </si>
  <si>
    <t>Admire (URU)</t>
  </si>
  <si>
    <t>Harmony</t>
  </si>
  <si>
    <t>Magma Rock (BRZ)</t>
  </si>
  <si>
    <t>Hard Rock</t>
  </si>
  <si>
    <t>Coral Gables</t>
  </si>
  <si>
    <t>Bright Again</t>
  </si>
  <si>
    <t>Come Again (URU)</t>
  </si>
  <si>
    <t>Hard Again</t>
  </si>
  <si>
    <t>Mare serviced November 30, 2011.</t>
  </si>
  <si>
    <t>For Your Eyes (BRZ)</t>
  </si>
  <si>
    <t>Hannelius</t>
  </si>
  <si>
    <t>Mare serviced August 2, 2011. Lady Eve was reported to be the first mare bred to Smarty in Uruguay.</t>
  </si>
  <si>
    <t>Lady Eve (BRZ)</t>
  </si>
  <si>
    <t>Hannah Montana</t>
  </si>
  <si>
    <t>Viaducto (URU)</t>
  </si>
  <si>
    <t>Avellanda (URU)</t>
  </si>
  <si>
    <t>Hank Chinaski</t>
  </si>
  <si>
    <t>Abel (ARG)</t>
  </si>
  <si>
    <t>Latibel (URU)</t>
  </si>
  <si>
    <t>Pleasant Variety</t>
  </si>
  <si>
    <t>Purajehy (BRZ)</t>
  </si>
  <si>
    <t>Irish River (FRA)</t>
  </si>
  <si>
    <t>Genuine Girl (BRZ)</t>
  </si>
  <si>
    <t>Miss Sweep</t>
  </si>
  <si>
    <t>Habib</t>
  </si>
  <si>
    <t>Haras Nahuel</t>
  </si>
  <si>
    <t>Minstrel Glory</t>
  </si>
  <si>
    <t>Guittar</t>
  </si>
  <si>
    <t>Lady Sedutiva (BRZ)</t>
  </si>
  <si>
    <t>Groing</t>
  </si>
  <si>
    <t>Dance Brightly</t>
  </si>
  <si>
    <t>Bright Reagent (CAN)</t>
  </si>
  <si>
    <t>Grey Reagent</t>
  </si>
  <si>
    <t>Purple Mountain</t>
  </si>
  <si>
    <t>Napope (BRZ)</t>
  </si>
  <si>
    <t>Gran Pope</t>
  </si>
  <si>
    <t>Stuka</t>
  </si>
  <si>
    <t>Ela Manda (BRZ)</t>
  </si>
  <si>
    <t>Gran Manda</t>
  </si>
  <si>
    <t>Siga Bravo (BRZ)</t>
  </si>
  <si>
    <t>Oat Meal (BRZ)</t>
  </si>
  <si>
    <t>Gran John</t>
  </si>
  <si>
    <t>Dolarizada (BRZ)</t>
  </si>
  <si>
    <t>Good Dolar</t>
  </si>
  <si>
    <t>Fast Gold</t>
  </si>
  <si>
    <t>Road Bay (BRZ)</t>
  </si>
  <si>
    <t>Good Bay</t>
  </si>
  <si>
    <t>Dodge</t>
  </si>
  <si>
    <t>Alo Baby (URU)</t>
  </si>
  <si>
    <t>Go Baby</t>
  </si>
  <si>
    <t>Fritz</t>
  </si>
  <si>
    <t>Trace Track (BRZ)</t>
  </si>
  <si>
    <t>Gipsy Track</t>
  </si>
  <si>
    <t>Vettori (IRE)</t>
  </si>
  <si>
    <t>Pretinha (BRZ)</t>
  </si>
  <si>
    <t>Genial</t>
  </si>
  <si>
    <t>Ponta D'Areia (BRZ)</t>
  </si>
  <si>
    <t>Ganadero</t>
  </si>
  <si>
    <t>Zizi Tiger (BRZ)</t>
  </si>
  <si>
    <t>Gabi Tigresa</t>
  </si>
  <si>
    <t>Haras El Ranchero</t>
  </si>
  <si>
    <t>Essayons</t>
  </si>
  <si>
    <t>Espumante (URU)</t>
  </si>
  <si>
    <t>Ess Martina</t>
  </si>
  <si>
    <t>Estefa y Vale</t>
  </si>
  <si>
    <t>Subordination</t>
  </si>
  <si>
    <t>Desolada (URU)</t>
  </si>
  <si>
    <t>Desolado Jones</t>
  </si>
  <si>
    <t xml:space="preserve">Mare serviced August 31, 2011. </t>
  </si>
  <si>
    <t>Bint al Reeh, SRL</t>
  </si>
  <si>
    <t>She's Got the Look (BRZ)</t>
  </si>
  <si>
    <t>Bint al Reeh</t>
  </si>
  <si>
    <t>Dubai Dust</t>
  </si>
  <si>
    <t>Burberry (URU)</t>
  </si>
  <si>
    <t>Berry Jones</t>
  </si>
  <si>
    <t>Haras don Beto</t>
  </si>
  <si>
    <t>Qui Joue (BRZ)</t>
  </si>
  <si>
    <t>Baby Jones</t>
  </si>
  <si>
    <t>Haras don Alfredo</t>
  </si>
  <si>
    <t>Asidero (ARG)</t>
  </si>
  <si>
    <t>Charru Girl (URU)</t>
  </si>
  <si>
    <t>Amante Latina</t>
  </si>
  <si>
    <t>Victor Azambullo reports on the foaling and indicates he is named (unofficially), "A Z Jones."</t>
  </si>
  <si>
    <t>Atirada (BRZ)</t>
  </si>
  <si>
    <t>A Z Jones</t>
  </si>
  <si>
    <t>Forca Atomica (BRZ)</t>
  </si>
  <si>
    <t>Ata De Santi</t>
  </si>
  <si>
    <t>Wra Black (URU)</t>
  </si>
  <si>
    <t>Waded (URU)</t>
  </si>
  <si>
    <t>Thamatet (ARG)</t>
  </si>
  <si>
    <t>Storm Riding (BRZ)</t>
  </si>
  <si>
    <t>Storm Blue (URU)</t>
  </si>
  <si>
    <t>Sprint Light (BRZ)</t>
  </si>
  <si>
    <t>Ritzle (URU)</t>
  </si>
  <si>
    <t>Queen Gipsy (BRZ)</t>
  </si>
  <si>
    <t>Punchin' Gal</t>
  </si>
  <si>
    <t>Popozuda (BRZ)</t>
  </si>
  <si>
    <t>Nova Londrina (BRZ)</t>
  </si>
  <si>
    <t>Nona Mia (BRZ)</t>
  </si>
  <si>
    <t>Molyneux (BRZ)</t>
  </si>
  <si>
    <t>Lady of Peace</t>
  </si>
  <si>
    <t>Jeanne Arpels (BRZ)</t>
  </si>
  <si>
    <t>Jacqueline Dora (BRZ)</t>
  </si>
  <si>
    <t>Isabelita (BRZ)</t>
  </si>
  <si>
    <t>Highlights (ARG)</t>
  </si>
  <si>
    <t>Free and Wild (ARG)</t>
  </si>
  <si>
    <t>Flor Djinn (URU)</t>
  </si>
  <si>
    <t>Cookie (BRZ)</t>
  </si>
  <si>
    <t>Calaita (BRZ)</t>
  </si>
  <si>
    <t>Haras El Comienzo</t>
  </si>
  <si>
    <t>True Confidence</t>
  </si>
  <si>
    <t>Boochecha (BRZ)</t>
  </si>
  <si>
    <t>Mantle Rock</t>
  </si>
  <si>
    <t>Ball Rock (URU)</t>
  </si>
  <si>
    <t>Rosario (?)</t>
  </si>
  <si>
    <t>Aventura Girl</t>
  </si>
  <si>
    <t>Avellaneda (URU)</t>
  </si>
  <si>
    <t>Armadilha Grega (BRZ)</t>
  </si>
  <si>
    <t>Ally Fitz (BRZ)</t>
  </si>
  <si>
    <t>Adeep (URU)</t>
  </si>
  <si>
    <t>La Coluda</t>
  </si>
  <si>
    <t>Senor Pete</t>
  </si>
  <si>
    <t>Youareverysmart</t>
  </si>
  <si>
    <t>Explode Coração (BRZ)</t>
  </si>
  <si>
    <t>Vilma Jones</t>
  </si>
  <si>
    <t>Hennesy</t>
  </si>
  <si>
    <t>Too Much Love (ARG)</t>
  </si>
  <si>
    <t>Traveller</t>
  </si>
  <si>
    <t>Lukuk</t>
  </si>
  <si>
    <t>Topless (URU)</t>
  </si>
  <si>
    <t>Sudafricana</t>
  </si>
  <si>
    <t>Leonardo Costa Franco</t>
  </si>
  <si>
    <t>Snowden</t>
  </si>
  <si>
    <t>Miguel Angel Pereyra</t>
  </si>
  <si>
    <t>Sushi Bar (ARG)</t>
  </si>
  <si>
    <t>Marisu (URU)</t>
  </si>
  <si>
    <t>Smarty Su</t>
  </si>
  <si>
    <t>Exile King</t>
  </si>
  <si>
    <t>La Boca Raton (BRZ)</t>
  </si>
  <si>
    <t>Smart Boy</t>
  </si>
  <si>
    <t>BGC Thoroughbred Stud</t>
  </si>
  <si>
    <t>Falsche (BRZ)</t>
  </si>
  <si>
    <t>Zaragosa Xhow (BRZ)</t>
  </si>
  <si>
    <t>Just Kidding</t>
  </si>
  <si>
    <t>Wild Event</t>
  </si>
  <si>
    <t>Telebreeze (BRZ)</t>
  </si>
  <si>
    <t>Ivete Sangalo</t>
  </si>
  <si>
    <t>Italia Fausta</t>
  </si>
  <si>
    <t>Isabel La Catolica</t>
  </si>
  <si>
    <t>Everlasting Love (BRZ)</t>
  </si>
  <si>
    <t>Isaac Newton</t>
  </si>
  <si>
    <t>Irish Pub</t>
  </si>
  <si>
    <t>Intransigente</t>
  </si>
  <si>
    <t>Instagram</t>
  </si>
  <si>
    <t>Ayrton S.</t>
  </si>
  <si>
    <t>Ingrata</t>
  </si>
  <si>
    <t>Dispersal</t>
  </si>
  <si>
    <t>Silver Rail</t>
  </si>
  <si>
    <t>Ines Del Almamia</t>
  </si>
  <si>
    <t>Miss Semblanch (ARG)</t>
  </si>
  <si>
    <t>Inepto</t>
  </si>
  <si>
    <t>Indy Jones</t>
  </si>
  <si>
    <t>Garota de Ipanema (ARG)</t>
  </si>
  <si>
    <t>India Karue</t>
  </si>
  <si>
    <t>In Fraganti</t>
  </si>
  <si>
    <t>Vuarnet (BRZ)</t>
  </si>
  <si>
    <t>In Company</t>
  </si>
  <si>
    <t>Purjehy (BRZ)</t>
  </si>
  <si>
    <t>Illinois</t>
  </si>
  <si>
    <t>Il Padrino</t>
  </si>
  <si>
    <t>Crawford (BRZ)</t>
  </si>
  <si>
    <t>Iceberg</t>
  </si>
  <si>
    <t>Icarly</t>
  </si>
  <si>
    <t>Nahuel</t>
  </si>
  <si>
    <t>Cavaca Purina (BRZ)</t>
  </si>
  <si>
    <t>Hot Pur</t>
  </si>
  <si>
    <t>Hot Pope</t>
  </si>
  <si>
    <t>Hindu Tiger</t>
  </si>
  <si>
    <t>Haze Track</t>
  </si>
  <si>
    <t>Damara Lark (BRZ)</t>
  </si>
  <si>
    <t>Happy Lark</t>
  </si>
  <si>
    <t>Half Baby</t>
  </si>
  <si>
    <t>Madelon y Lucia</t>
  </si>
  <si>
    <t>Honey Street (BRZ)</t>
  </si>
  <si>
    <t>Rubia Street (BRZ)</t>
  </si>
  <si>
    <t>Gran Manzana</t>
  </si>
  <si>
    <t>Estefania Perrone Porras</t>
  </si>
  <si>
    <t>Forty Hastiosa (ARG)</t>
  </si>
  <si>
    <t>El Malamado</t>
  </si>
  <si>
    <t>Luiz Fernando Cirne Lima</t>
  </si>
  <si>
    <t>El Cardo Rubio</t>
  </si>
  <si>
    <t>El Arbolito</t>
  </si>
  <si>
    <t>Aramram</t>
  </si>
  <si>
    <t>Atlantis (URU)</t>
  </si>
  <si>
    <t>Dra. Rey</t>
  </si>
  <si>
    <t>Dozir Jones</t>
  </si>
  <si>
    <t>Corchea Green (URU)</t>
  </si>
  <si>
    <t>Don Jones</t>
  </si>
  <si>
    <t>Cagney (BRZ)</t>
  </si>
  <si>
    <t>Dear Grace (URU)</t>
  </si>
  <si>
    <t>Dear Jones</t>
  </si>
  <si>
    <t>La Concordia</t>
  </si>
  <si>
    <t>Senora De Mayo</t>
  </si>
  <si>
    <t>Bridget Jones</t>
  </si>
  <si>
    <t>Toda Genia (URU)</t>
  </si>
  <si>
    <t>Bold Agreement</t>
  </si>
  <si>
    <t>Santa Lucia de la Candelaria</t>
  </si>
  <si>
    <t>Flag Down (CAN)</t>
  </si>
  <si>
    <t>Flag Blue (URU)</t>
  </si>
  <si>
    <t>Blue Dream</t>
  </si>
  <si>
    <t>Internacional</t>
  </si>
  <si>
    <t>Music Prospector</t>
  </si>
  <si>
    <t>Enrolada (BRZ)</t>
  </si>
  <si>
    <t>Bertilda</t>
  </si>
  <si>
    <t>Put It Back</t>
  </si>
  <si>
    <t>Red Bloom (BRZ)</t>
  </si>
  <si>
    <t>Belisaria</t>
  </si>
  <si>
    <t>Adema</t>
  </si>
  <si>
    <t>Robin des Pins</t>
  </si>
  <si>
    <t>Batista (URU)</t>
  </si>
  <si>
    <t>Adivertida</t>
  </si>
  <si>
    <t>Sea of Secrets</t>
  </si>
  <si>
    <t>Zafiro</t>
  </si>
  <si>
    <t>Wrangler</t>
  </si>
  <si>
    <t>Wrangler Diz (URU)</t>
  </si>
  <si>
    <t>Visible Winner (BRZ)</t>
  </si>
  <si>
    <t>Falcon Fly (ARG)</t>
  </si>
  <si>
    <t>Toscanita (URU)</t>
  </si>
  <si>
    <t>Señor Juez (ARG)</t>
  </si>
  <si>
    <t>Telegrafica (ARG)</t>
  </si>
  <si>
    <t>So Kind (BRZ)</t>
  </si>
  <si>
    <t>Shnaps (BRZ)</t>
  </si>
  <si>
    <t>Royal Rafaela (BRZ)</t>
  </si>
  <si>
    <t>Royal Ballet (ARG)</t>
  </si>
  <si>
    <t>Royal Laque (URU)</t>
  </si>
  <si>
    <t>Robin Des Pins</t>
  </si>
  <si>
    <t>Reina Polaca (URU)</t>
  </si>
  <si>
    <t>Pretty Cristal (URU)</t>
  </si>
  <si>
    <t>Potridoon (ARG)</t>
  </si>
  <si>
    <t>Potri Sensual (URU)</t>
  </si>
  <si>
    <t>Pollensa (URU)</t>
  </si>
  <si>
    <t>Jimwaki (BRZ)</t>
  </si>
  <si>
    <t>Petite Caresse (ARG)</t>
  </si>
  <si>
    <t>Hibernian Rhapsody (IRE)</t>
  </si>
  <si>
    <t>Olympic Impatient (BRZ)</t>
  </si>
  <si>
    <t>Nuvem Dourada (BRZ</t>
  </si>
  <si>
    <t>Nueva Ilusion (URU)</t>
  </si>
  <si>
    <t>Nuclear Scan (BRZ)</t>
  </si>
  <si>
    <t>Ghadeer (FRA)</t>
  </si>
  <si>
    <t>Nossa Dia (BRZ)</t>
  </si>
  <si>
    <t>Mystic American (BRZ)</t>
  </si>
  <si>
    <t>Payant (ARG)</t>
  </si>
  <si>
    <t>Matiara (ARG)</t>
  </si>
  <si>
    <t>Decisive (ARG)</t>
  </si>
  <si>
    <t>Matadora (URU)</t>
  </si>
  <si>
    <t>Mamma Carmella (BRZ)</t>
  </si>
  <si>
    <t>Major Leader (ARG)</t>
  </si>
  <si>
    <t>Major Flag (URU)</t>
  </si>
  <si>
    <t>Magical Song (BRZ)</t>
  </si>
  <si>
    <t>Magic Touch (URU)</t>
  </si>
  <si>
    <t>Magic Miss (ARG)</t>
  </si>
  <si>
    <t>Beau Sultan</t>
  </si>
  <si>
    <t>Linda Joya (URU)</t>
  </si>
  <si>
    <t>Ritz (ARG)</t>
  </si>
  <si>
    <t>Lilonga (URU)</t>
  </si>
  <si>
    <t>Lavinium (ARG)</t>
  </si>
  <si>
    <t>Lasagna (BRZ)</t>
  </si>
  <si>
    <t>Fund of Funds</t>
  </si>
  <si>
    <t>Lady Fund (URU)</t>
  </si>
  <si>
    <t>Kokand</t>
  </si>
  <si>
    <t>Kokoless (URU)</t>
  </si>
  <si>
    <t>Trempolino</t>
  </si>
  <si>
    <t>Blue Stag (IRE)</t>
  </si>
  <si>
    <t>Snow Foss (URU)</t>
  </si>
  <si>
    <t>Indiana Snow (URU)</t>
  </si>
  <si>
    <t>Blade Prospctor (BRZ)</t>
  </si>
  <si>
    <t>Honey Blade (BRZ)</t>
  </si>
  <si>
    <t>Guaratuba</t>
  </si>
  <si>
    <t>Grand Pearl (URU)</t>
  </si>
  <si>
    <t>Golden Blue (URU)</t>
  </si>
  <si>
    <t>Real Quiet</t>
  </si>
  <si>
    <t>Fugitiva (URU)</t>
  </si>
  <si>
    <t>Nedawi (GB)</t>
  </si>
  <si>
    <t>Frost Free (BRZ)</t>
  </si>
  <si>
    <t>Equalize</t>
  </si>
  <si>
    <t>Top Size (BRZ)</t>
  </si>
  <si>
    <t>Fly White (BRZ)</t>
  </si>
  <si>
    <t>Signal Tap</t>
  </si>
  <si>
    <t>Flor de Rapida (BRZ)</t>
  </si>
  <si>
    <t>Fatta per Vincere (BRZ)</t>
  </si>
  <si>
    <t>Farda Vencedora (ARG)</t>
  </si>
  <si>
    <t>Fantastic Votsi</t>
  </si>
  <si>
    <t>Petit Poucet (GB)</t>
  </si>
  <si>
    <t>Emycet (ARG)</t>
  </si>
  <si>
    <t>Russian Blue (IRE)</t>
  </si>
  <si>
    <t>Dorothy Gale (ARG)</t>
  </si>
  <si>
    <t>Mr. Alleva (ARG)</t>
  </si>
  <si>
    <t>Dominik (URU)</t>
  </si>
  <si>
    <t>Dancer Sophie (URU)</t>
  </si>
  <si>
    <t>Damita (URU)</t>
  </si>
  <si>
    <t>Plicck (IRE)</t>
  </si>
  <si>
    <t>Dama de Honor (URU)</t>
  </si>
  <si>
    <t>El Contador (ARG)</t>
  </si>
  <si>
    <t>Condesa Ritz (URU)</t>
  </si>
  <si>
    <t>Contracanto (URU)</t>
  </si>
  <si>
    <t>Cara de Gitana (URU)</t>
  </si>
  <si>
    <t>Cantejonda (URU)_</t>
  </si>
  <si>
    <t>Calvaire (URU)</t>
  </si>
  <si>
    <t>Caiamba Alley (URU)</t>
  </si>
  <si>
    <t>Branca (URU)</t>
  </si>
  <si>
    <t>Mogador</t>
  </si>
  <si>
    <t>Bleu du Soir (URU)</t>
  </si>
  <si>
    <t>Alpha Plus</t>
  </si>
  <si>
    <t>Bamba Plus (ARG)</t>
  </si>
  <si>
    <t>Azalita's Flag (ARG)</t>
  </si>
  <si>
    <t>Seeker's Revenge (CAN)</t>
  </si>
  <si>
    <t>Atita (ARG)</t>
  </si>
  <si>
    <t>Athia (BRZ)</t>
  </si>
  <si>
    <t>Rienzo (URU)</t>
  </si>
  <si>
    <t>Ata De Santi (URU)</t>
  </si>
  <si>
    <t>Angela Mina (ARG)</t>
  </si>
  <si>
    <t>Anestesia (URU)</t>
  </si>
  <si>
    <t>Allnightdance</t>
  </si>
  <si>
    <t>Zarzaparrilla</t>
  </si>
  <si>
    <t>El Comienzo</t>
  </si>
  <si>
    <t>Reservada</t>
  </si>
  <si>
    <t>Dancer Man (BRZ)</t>
  </si>
  <si>
    <t>Ilha de Esperança (BRZ)</t>
  </si>
  <si>
    <t>Loco De Amor</t>
  </si>
  <si>
    <t>Cuatro Piedras</t>
  </si>
  <si>
    <t>Juana La Loca</t>
  </si>
  <si>
    <t>Juana De Arco</t>
  </si>
  <si>
    <t>Juan Boliche</t>
  </si>
  <si>
    <t>Mensageiro Alado (BRZ)</t>
  </si>
  <si>
    <t>Joint Venture</t>
  </si>
  <si>
    <t>Jaque Mate</t>
  </si>
  <si>
    <t>Janeiro</t>
  </si>
  <si>
    <t>Jairo</t>
  </si>
  <si>
    <t>Deneo's</t>
  </si>
  <si>
    <t>Amodeo (URU)</t>
  </si>
  <si>
    <t>I Smarty</t>
  </si>
  <si>
    <t>Yekaterina (BRZ)</t>
  </si>
  <si>
    <t>Deliciosa</t>
  </si>
  <si>
    <t>Letze Rose (BRZ)</t>
  </si>
  <si>
    <t>Colonia Rose</t>
  </si>
  <si>
    <t>Smart Two a T</t>
  </si>
  <si>
    <t>Annie's Tuff</t>
  </si>
  <si>
    <t>Lil's Lad</t>
  </si>
  <si>
    <t>Gin and Regret</t>
  </si>
  <si>
    <t>On the Rail</t>
  </si>
  <si>
    <t>Auntie Inda Attic</t>
  </si>
  <si>
    <t>Suave Prospect</t>
  </si>
  <si>
    <t>Leslie Ann Condon</t>
  </si>
  <si>
    <t>Nikolai W. Taras</t>
  </si>
  <si>
    <t>Carol Carroll</t>
  </si>
  <si>
    <t>colt, b. (NJ)</t>
  </si>
  <si>
    <t>colt, dkb./br. (LA)</t>
  </si>
  <si>
    <t>filly, gr./r. (MD)</t>
  </si>
  <si>
    <t>colt, dkb./br. (PA)</t>
  </si>
  <si>
    <t>filly, dkb./br. (OH)</t>
  </si>
  <si>
    <t>colt, dkb./br. (FL)</t>
  </si>
  <si>
    <t>Princesita</t>
  </si>
  <si>
    <t>Prodigo Jones</t>
  </si>
  <si>
    <t>Irish River (FR)</t>
  </si>
  <si>
    <t>San Miguel Queguay</t>
  </si>
  <si>
    <t>Patriota Jones</t>
  </si>
  <si>
    <t>Abel (BRZ)</t>
  </si>
  <si>
    <r>
      <rPr>
        <sz val="9"/>
        <rFont val="Wingdings"/>
        <charset val="2"/>
      </rPr>
      <t>t</t>
    </r>
    <r>
      <rPr>
        <sz val="9"/>
        <rFont val="Arial"/>
        <family val="2"/>
      </rPr>
      <t xml:space="preserve"> - Southern Hemisphere Foal</t>
    </r>
  </si>
  <si>
    <t>Starting his second career as an eventer, according to Michelle Tate-Fuller. // Originally named Boxing the Clown--which was approved by the Jockey Club in August 2011. In researching the origins of the name, I uncovered what that phrase refers to and wrote the Jockey Club to complain. Name changed in September 2012. // Bought by Fairytail Farms for $2,500 at the 2010 Keeneland November Breeding Stock Sale.</t>
  </si>
  <si>
    <t>R-Pen, Dec-14</t>
  </si>
  <si>
    <t>Mahoning Valley</t>
  </si>
  <si>
    <t>Broodmare offered at the 2014 Fasig-Tipton Midlantic December Mixed Sale but didn't sell (RNA at $2,000). // Maria's Court, a half-sister to Maria's Mon by Donerail Court (sire of dam to One Smart Philly), was winless yet nonetheless earned nearly $70k</t>
  </si>
  <si>
    <t>Withdrawn from the 2014 Fasig-Tipton Midlantic December Mixed Sale. // Broodmare covered on April 5, 2013, for sale on Starquine for $25,000.</t>
  </si>
  <si>
    <t>R-PHL, Dec-14</t>
  </si>
  <si>
    <t>Maronas URU</t>
  </si>
  <si>
    <t>GPW</t>
  </si>
  <si>
    <t>mare, ch. (CAN)</t>
  </si>
  <si>
    <t>mare, b. (IN)</t>
  </si>
  <si>
    <t>mare, dkb/b. (KY)</t>
  </si>
  <si>
    <t>F Alghareeban</t>
  </si>
  <si>
    <t>Mr. October</t>
  </si>
  <si>
    <t>Why So Smart</t>
  </si>
  <si>
    <t>Victor Hugo Firpo</t>
  </si>
  <si>
    <t>Sarah Jones</t>
  </si>
  <si>
    <t>filly, (URU)</t>
  </si>
  <si>
    <t>Public Purse</t>
  </si>
  <si>
    <t>Gales</t>
  </si>
  <si>
    <t>Villano Jones</t>
  </si>
  <si>
    <t>Afilado</t>
  </si>
  <si>
    <t>Alburrito</t>
  </si>
  <si>
    <t>Ata De Moi</t>
  </si>
  <si>
    <t>Bamba y Bamba</t>
  </si>
  <si>
    <t>Bella Minna</t>
  </si>
  <si>
    <t>Cherokee Jones</t>
  </si>
  <si>
    <t>Conde Smarty</t>
  </si>
  <si>
    <t>El Benja</t>
  </si>
  <si>
    <t>El Nominado</t>
  </si>
  <si>
    <t>Felicitas</t>
  </si>
  <si>
    <t>Freeman</t>
  </si>
  <si>
    <t>Impetuoso</t>
  </si>
  <si>
    <t>Jabalina</t>
  </si>
  <si>
    <t>Jairzinho</t>
  </si>
  <si>
    <t>Jarabe de Palo</t>
  </si>
  <si>
    <t>Jazmine</t>
  </si>
  <si>
    <t>Jelko</t>
  </si>
  <si>
    <t>Jesse y Joy</t>
  </si>
  <si>
    <t>Jessika</t>
  </si>
  <si>
    <t>Jeylo</t>
  </si>
  <si>
    <t>Jezebel</t>
  </si>
  <si>
    <t>Josiane</t>
  </si>
  <si>
    <t>Joya del Niho</t>
  </si>
  <si>
    <t>Jubileo</t>
  </si>
  <si>
    <t>Juez de Paz</t>
  </si>
  <si>
    <t>Juliette</t>
  </si>
  <si>
    <t>Julio C</t>
  </si>
  <si>
    <t>Jura de Amor</t>
  </si>
  <si>
    <t>Juramento</t>
  </si>
  <si>
    <t>Kilkenny</t>
  </si>
  <si>
    <t>Lady Angela</t>
  </si>
  <si>
    <t>Lady Blue</t>
  </si>
  <si>
    <t>Lady Jones</t>
  </si>
  <si>
    <t>Magic Jones</t>
  </si>
  <si>
    <t>Malvina Jones</t>
  </si>
  <si>
    <t>Melody Jones</t>
  </si>
  <si>
    <t>Natacha</t>
  </si>
  <si>
    <t>Patito Feo</t>
  </si>
  <si>
    <t>Perla Real</t>
  </si>
  <si>
    <t>Quijoya</t>
  </si>
  <si>
    <t>Rey da Noite</t>
  </si>
  <si>
    <t>Smarty</t>
  </si>
  <si>
    <t>Smarty Seek</t>
  </si>
  <si>
    <t>Sugar</t>
  </si>
  <si>
    <t>Tacuabe</t>
  </si>
  <si>
    <t>Unico Verso</t>
  </si>
  <si>
    <t>Wimbledon</t>
  </si>
  <si>
    <t>Someday Jones</t>
  </si>
  <si>
    <t>Dancing Coco, in foal to Choisir-AUS, sold at Goffs for 25,000 euros. Her offspring could be Smarty's first great-grandson or great-granddaughter. // Foals: Dancing Coco By Montjeu, Pike Corner Cross by Cape Cross, unnamed filly by Acclamation. // Listed as broodmare in catalog of the sale of dam. // Debut winner. // Exported to Ireland by owner Michael O'Flynn. // Bought by Brian Grassick Bloodstock, Ltd for $340,000 at 2007 Keeneland September Yearling Sale, consigned by Three Chimneys Sales. // "A nice big, bay filly with lots of quality and lots of scope. An exceptional foal." (Old Bradley Place broodmare manager Richie Donworth) // Bred by Edward J Gregory &amp; W &amp; Michael M Kelly.</t>
  </si>
  <si>
    <t>12/12</t>
  </si>
  <si>
    <t>gelding, ch. (WV)</t>
  </si>
  <si>
    <t>Kendricks</t>
  </si>
  <si>
    <t>Submitted a pair of names on 12/27/14, Victory Layne and Victory Laine, and both wererejected on the basis that they were similar to a name already in use (Victory Lane). // Bought by Sid Attard for CAN$25,000 (US$22,870) at the 2014 CTHS September Select Yearling Sale.</t>
  </si>
  <si>
    <t>Believed retired in 2014. // Unless he was misidentified, Daren returned to worktab in July 2014 at Del Mar. We listed him as retired in May 2013. //  Posted for sale on "Trainer's List." May 2013. // Bought by Dr. Ernest J. Colvin for $4,500 at the 2010 Keeneland September Yearling Sale</t>
  </si>
  <si>
    <t>Assumed retired on the basis of no activity for three years, dating back to January 2012. // Debut winner on November 5, 2010. Foaled in Saudi Arabia.</t>
  </si>
  <si>
    <t>Sold for US$17,500 at the Al Janadriah December Sale Foaled in Saudi Arabia, in foal to Beethoven. // Tisket A Tasket (in foal to Smarty Jones) was bought for $290,000 by ITC International Thoroughbred Consultants at the 2007 Keeneland November Breeding Stock Sale. // Mare serviced on February 27, 2007.</t>
  </si>
  <si>
    <t>mare, b. (CA)</t>
  </si>
  <si>
    <t>mare (RUS)</t>
  </si>
  <si>
    <t>mare, gr./ro. (KY)</t>
  </si>
  <si>
    <t>mare, ch. (THA)</t>
  </si>
  <si>
    <t>horse, ch. (IL)</t>
  </si>
  <si>
    <t>horse, ch. (JPN)</t>
  </si>
  <si>
    <t>horse, ch. (TX)</t>
  </si>
  <si>
    <t>horse (KY)</t>
  </si>
  <si>
    <t>Pulled up and vanned off in July 2013. // Gelded after his 2nd career start. // Bought by Wildcat Racing and Paul Schaffer, LLC for $21,000 at the 2010 Keeneland November Breeding Stock Sale.</t>
  </si>
  <si>
    <t>Retired - 2015</t>
  </si>
  <si>
    <t>Retired to The Thoroughbred Connection on January 2, 2015. // Privately sold and shipped to Penn National in July 2013. // Claimed by trainer Michael Pino for Nick Sanna Stables LLC in June 2009. //  Private sale to Ralph Bruno in April 2009. New trainer is Mark Fusco. // Changed trainers to A. McKeever in October 2008. // As of September 2008, owned by Mueller Farm and trained by Thomas Voss. // Removed from Fasig-Tipton's 2008 Midlantic 2YO in Training Sale, consigned by Nick de Meric, Agent. // Removed from Fasig-Tipton's 2008 Calder Select 2YO in Training Sale, consigned by Ricky Leppala, Inc., Agent for Solitary Oak Farm (Danny Pate). // Offered at 2007 Keeneland September Yearling Sale, consigned by Bluegrass Thoroughbred Sales (agent for Mueller Farm). Reserve not attained. // Literary Light (in foal to Smarty Jones) was bought for $380,000 by Mueller Farm at the 2005 Keeneland November Breeding Stock Sale. // "He's nice, a little small but not bad. This is the mare's first foal. He is [developing] nicely," says Mueller Farm manager Lee White</t>
  </si>
  <si>
    <t>Baccalaurecat</t>
  </si>
  <si>
    <t>Better Than Rubies</t>
  </si>
  <si>
    <t>Smarter Than Us</t>
  </si>
  <si>
    <t>Sweet Gaby Jones</t>
  </si>
  <si>
    <t>Smarty Never Quits</t>
  </si>
  <si>
    <t>Smarty Pockets</t>
  </si>
  <si>
    <t>Superion</t>
  </si>
  <si>
    <t>Very Smart</t>
  </si>
  <si>
    <t>Hearty Jones</t>
  </si>
  <si>
    <t>Smart Romance</t>
  </si>
  <si>
    <t>El Sangru</t>
  </si>
  <si>
    <t>6/7</t>
  </si>
  <si>
    <t>William R. Hettinger</t>
  </si>
  <si>
    <t>Jeremiah Kane</t>
  </si>
  <si>
    <t>NA</t>
  </si>
  <si>
    <t>J Toledo</t>
  </si>
  <si>
    <t>Offered but not sold (RNA at $10,000) at the 2015 Keeneland January Sale, in foal to Scat Daddy (on Southern Hemisphere time). // Bought by Lynn Jacobs for $4,500 at the 2009 Keeneland January Horses of All Ages Sale. // Bought by Grow Like A Weed Stable for $60,000 at the 2007 Keeneland November Breeding Stock Sale, consigned by Gracefield, Agent</t>
  </si>
  <si>
    <t>1/3</t>
  </si>
  <si>
    <t>J Firpo</t>
  </si>
  <si>
    <t>CT</t>
  </si>
  <si>
    <t>Name claim submitted for "Wise Guy" but it was rejected as too similar to another name</t>
  </si>
  <si>
    <t>Petite Amie</t>
  </si>
  <si>
    <t>Principe Smarty</t>
  </si>
  <si>
    <t>Suspicacia</t>
  </si>
  <si>
    <t>Smarty Stephen</t>
  </si>
  <si>
    <t>2015 F-T Kentucky Winter Mixed Sale - Tuesday, February 9</t>
  </si>
  <si>
    <t>Bel</t>
  </si>
  <si>
    <t>Contacted owner, Jeff Murphy, who confirmed that he has Smart Dreamer and that he is retired. According to Jeff: "he's doing well and is a nice horse." // Assumed retired based on three years or more of inactivity, as of Sept. 2012. // As of October 2009, trained by John Servis.</t>
  </si>
  <si>
    <t>What a Smarty</t>
  </si>
  <si>
    <t>Hindianna Jones</t>
  </si>
  <si>
    <t>Sweet Steppin</t>
  </si>
  <si>
    <t>Pim</t>
  </si>
  <si>
    <t>Assumed retired due to three years inactivity dating back to February 2012. // On June 13, 2008, Abraham Again became the first Smarty Jones foal to be entered in a race.  // "A very nice foal." (farm manager Jim Fitzgerald) // Bought by Miriam y Sharon for $50,000 at 2007 Keeneland September Yearling Sale, consigned by Lane's End.</t>
  </si>
  <si>
    <t>R-Pen, Feb-15</t>
  </si>
  <si>
    <t>7/9</t>
  </si>
  <si>
    <t xml:space="preserve">Bought for 10,000 Guineas ($16,105) by Allan Bloodlines at the 2015 Tattersalls February Sale. // Foaled a colt in Great Britain by Bahamian Bounty. // According to an "insider" in October 2008: "Stan’s Smarty Girl, grown and strengthened through out the year, has since had a small set back. She is confined to her stall, except when she is taken out every day for exercise. We will continue to train her and aim to give her a race over the winter before next season starts." // Stan's Smarty Girl was exported to the UK and is owned by Stan James Syndicate, a new venture of Stan James UK, one of the larger bookmaking operationsin the UK. According to the Syndicate's website, Smarty Girl "has been [nominated] for the Breeders’ Cup Juvenile at Santa Anita." // Bought by Paul Cole for $100,000 at 2007 Keeneland September Yearling Sale, consigned by Eaton Sales (agent for Overbrook Farm). </t>
  </si>
  <si>
    <t>W-TuP, Feb-15</t>
  </si>
  <si>
    <t>Smarty Please</t>
  </si>
  <si>
    <t>High Point</t>
  </si>
  <si>
    <t>H Navatta</t>
  </si>
  <si>
    <t>Delmira</t>
  </si>
  <si>
    <t>Palmar de Porrua</t>
  </si>
  <si>
    <t>Hay Carola</t>
  </si>
  <si>
    <t>Magic Blue</t>
  </si>
  <si>
    <t>Scorpion</t>
  </si>
  <si>
    <t>Sienna Farms LLC</t>
  </si>
  <si>
    <t>Collen's Scorpion-ON</t>
  </si>
  <si>
    <t>Goyle</t>
  </si>
  <si>
    <r>
      <rPr>
        <sz val="9"/>
        <rFont val="Wingdings"/>
        <charset val="2"/>
      </rPr>
      <t>t</t>
    </r>
    <r>
      <rPr>
        <sz val="9"/>
        <rFont val="Arial"/>
        <family val="2"/>
      </rPr>
      <t xml:space="preserve"> Hawaiana-URU</t>
    </r>
  </si>
  <si>
    <t>Los Apostoles</t>
  </si>
  <si>
    <t>2/9</t>
  </si>
  <si>
    <t>Allowance 3YO</t>
  </si>
  <si>
    <t xml:space="preserve">Offered for sale as hunter on www.bigeq.com in February 2015. // Bought by Diamond G Ranch, Inc. for $7,000 at the 2009 Keeneland September Yearlings Sale. </t>
  </si>
  <si>
    <t>1/14</t>
  </si>
  <si>
    <t>G Saez</t>
  </si>
  <si>
    <t>Jose Luis Espinoza or Stonewall Dominion, LLC</t>
  </si>
  <si>
    <t>Quick N Fancy</t>
  </si>
  <si>
    <t>Broodmare rescued by Lily Pond Foal Rescue in February 2015.</t>
  </si>
  <si>
    <t>Announce</t>
  </si>
  <si>
    <t>R-OP, Mar-15</t>
  </si>
  <si>
    <t>R-TuP, Mar-15</t>
  </si>
  <si>
    <t>Vanned off after finishing last on March 9, 2015. // Claimed by Jerry Hollendorfer in January 2013.</t>
  </si>
  <si>
    <t>Justifiable Junior</t>
  </si>
  <si>
    <t>Hipodromo Las Piedras (URU)</t>
  </si>
  <si>
    <t>Bought by Perry Perrelin for US$12,344 at the 2012 Alberta September Sale. // Broodmare, in foal to Smarty Jones, was bought by Stone Ranches for $3,500 at the 2010 Keeneland November Breeding Stock Sale.</t>
  </si>
  <si>
    <t>Cachaña</t>
  </si>
  <si>
    <t>Lacala</t>
  </si>
  <si>
    <t>Prados Del Este</t>
  </si>
  <si>
    <t>Azambullo Bloodstock</t>
  </si>
  <si>
    <t>El Periscopio</t>
  </si>
  <si>
    <t>San Carlos</t>
  </si>
  <si>
    <t>Los Mendez</t>
  </si>
  <si>
    <t>Rapetti</t>
  </si>
  <si>
    <t>Juan Carlos Ripoll Novoa</t>
  </si>
  <si>
    <t>Juan Antonio Milat Vierci</t>
  </si>
  <si>
    <t>Musa</t>
  </si>
  <si>
    <t>Los Apamates</t>
  </si>
  <si>
    <t>San Salvadore</t>
  </si>
  <si>
    <t>Stud Rio Dois Irmãos</t>
  </si>
  <si>
    <t>Not Disturb</t>
  </si>
  <si>
    <t>fill, ch. (BRZ)</t>
  </si>
  <si>
    <t>Haras Belmont LTDA</t>
  </si>
  <si>
    <t>colt, b. (BRZ)</t>
  </si>
  <si>
    <t>Haras Maluga</t>
  </si>
  <si>
    <t>Arambare (BRZ)</t>
  </si>
  <si>
    <t>Has found a new calling: https://www.youtube.com/watch?v=dETvIgSqO_Q&amp;t=27 // Sold to Susan &amp; Wayne Chatfield-Taylor, for $29,000 at the 2009 Keeneland November Breeding Stock Sale.</t>
  </si>
  <si>
    <t>1/12</t>
  </si>
  <si>
    <t>Edward A. Seltzer Irrevocable Trust &amp; Lawrence Schine</t>
  </si>
  <si>
    <t>Fonner Park</t>
  </si>
  <si>
    <t>Scythe</t>
  </si>
  <si>
    <t>R-Pan, Mar-15</t>
  </si>
  <si>
    <t>Bombshell Babe</t>
  </si>
  <si>
    <t>Smarty Mr. D</t>
  </si>
  <si>
    <t>StOptCl16000 4YO&amp;up</t>
  </si>
  <si>
    <t>1/7</t>
  </si>
  <si>
    <t xml:space="preserve">Had a filly by Gig Harbor in 2015. // Bought by Miquel Moreno Jr., (Agent for Corn &amp; Moreno) for $28,000 at the 2009 Keeneland September Yearlings Sale. </t>
  </si>
  <si>
    <t>3/13</t>
  </si>
  <si>
    <t>gelding, dkb./br. (MD)</t>
  </si>
  <si>
    <t>First of the 2013 crop of Smarties to post a published workout</t>
  </si>
  <si>
    <t>3/9</t>
  </si>
  <si>
    <t>Halo Hollie</t>
  </si>
  <si>
    <t>Had a colt by Sky Mesa in 2015. // Bought for $87,000 by Ben Glass (agent) at the 2014 Keeneland November Breeding Stock Sale. // Bought privately by Jay Goodwin for $25,000 in September 2014. Bred to Sky Mesa in 2014. // RNA ($37,000) at the 2013 Keeneland November Breeding Stock Sale, as a broodmare prospect. // Debut winner on September 29, 2011. // Bought by Agent Federico Barberini for $11,000 at the 2010 Keeneland September Yearling Sale</t>
  </si>
  <si>
    <t xml:space="preserve">Bred to Exceed and Excel for 2016. // Was barren in 2015. // "FIN DE CARRIERE EN FRANCE" (as of 1/1/2013); was unplaced in last race in December 2012. // Bought by Prime Equestrian for $180,000 at the 2010 Keeneland April Two-Year-Olds in Training Sale. // Bought by B M S, Inc for $52,000 at the 2009 Keeneland September Yearlings Sale. </t>
  </si>
  <si>
    <t>Close Contact</t>
  </si>
  <si>
    <t>B Perkins, Jr.</t>
  </si>
  <si>
    <t>4/4</t>
  </si>
  <si>
    <t>N Juarez</t>
  </si>
  <si>
    <t>Hada Luna</t>
  </si>
  <si>
    <t>Las Piedras URU</t>
  </si>
  <si>
    <t>Hada Luna means "honeymoon" in Spanish. // Mare serviced August 10, 2011.</t>
  </si>
  <si>
    <t>Assumed retired due to three years' inactivity dating back to May 2012. // One source reported that Cosmo Pirate had resumed training in February 2009. // An unconfirmed report says that Cosmo Pirate suffered some sort of bone fracture sometime after October 2008.  // Colt is trained by Masashi Okuhira in Japan. // Bought by Big Red Farm for $350,000 at 2007 Keeneland September Yearling Sale, consigned by Burleson Farms LLC. // "He's a beautiful guy. Big strong colt, he weighed 140 pounds at birth. He's got the kind of shoulder and front end on him that really makes him stand out." (Jeff at Chestertown Farm in New York) // Confidently is a full sister to Yankee Gentleman.</t>
  </si>
  <si>
    <t>Assumed retired based on three years' inactivity dating back to May 2012. // Equibase noted "gelding" in September 2011.</t>
  </si>
  <si>
    <t>FH-Awt</t>
  </si>
  <si>
    <t>3/18</t>
  </si>
  <si>
    <t>Acquired by Jill Veldman and was retired to her farm in May 2015. // Bought by Brittlyn Stables/Evelyn Benoit for $270,000 at the 2008 Keeneland September Yearling Sale, consigned by Paramount Sales, Agent. Maurice and Evelyn Benoit will be honored at this year's TOBA Dinner as the top breeder in the state of Louisiana. // Offered at the 2007 Keeneland November Breeding Stock Sale, consigned by Three Chimneys Sales, Agent for Run For The Roses Stable LLC; reserve not attained.</t>
  </si>
  <si>
    <t>Coraje Conejo</t>
  </si>
  <si>
    <t>PA -Erie</t>
  </si>
  <si>
    <t>Hazel Park</t>
  </si>
  <si>
    <t>MI - Hazel Park</t>
  </si>
  <si>
    <t>Marathon Farms</t>
  </si>
  <si>
    <t>R Leaf, Jr.</t>
  </si>
  <si>
    <t>T Salzman</t>
  </si>
  <si>
    <t>IA - Des Moines</t>
  </si>
  <si>
    <t>Debut winner on May 9, 2015 and was the youngest Smarty to win a race. // Bought by Tim Salzman for $3,000 at the 2014 Fasig-Tipton Midlantic September Yearling Sale.</t>
  </si>
  <si>
    <t>J Garcia</t>
  </si>
  <si>
    <t>Thomas G. McClay</t>
  </si>
  <si>
    <t>Monmouth Park</t>
  </si>
  <si>
    <t>Debut winner on May 18, 2015.</t>
  </si>
  <si>
    <t>Debut winner on May 17, 2015.</t>
  </si>
  <si>
    <t>Fairmount Park</t>
  </si>
  <si>
    <t>colt, b. (KOR)</t>
  </si>
  <si>
    <t>Isidore Farm</t>
  </si>
  <si>
    <t>R H Breeding LLC</t>
  </si>
  <si>
    <t>Four Bucks Racing</t>
  </si>
  <si>
    <t>Barren</t>
  </si>
  <si>
    <t>R-HP, May-15</t>
  </si>
  <si>
    <r>
      <rPr>
        <sz val="9"/>
        <rFont val="Wingdings"/>
        <charset val="2"/>
      </rPr>
      <t>t</t>
    </r>
    <r>
      <rPr>
        <sz val="9"/>
        <rFont val="Arial"/>
        <family val="2"/>
      </rPr>
      <t xml:space="preserve"> Hank Chinaski-URU</t>
    </r>
  </si>
  <si>
    <t>Sopelino</t>
  </si>
  <si>
    <t>2015 OBS June 2YOs and Horses of Racing Age Sale - Friday, June 19</t>
  </si>
  <si>
    <t>Little Hussy</t>
  </si>
  <si>
    <t>Horse Chestnut</t>
  </si>
  <si>
    <t>Assumed retired based on three years of inactivity dating back to June 2012. // Exported. // Sold for $14,000 to Inventing Ltd. at the 2009 Keeneland November Breeding Stock Sale.</t>
  </si>
  <si>
    <t>Another Smarty</t>
  </si>
  <si>
    <t>Smartness</t>
  </si>
  <si>
    <t>Rhodium One</t>
  </si>
  <si>
    <t>Jennifer Blomquist Johnson and Richard Alan Johnson</t>
  </si>
  <si>
    <t>filly (MD)</t>
  </si>
  <si>
    <t>Pulled up and vanned off when she took a bad step midway down the backstretch on the turf at Churchill Downs on June 6, 2015. // Withdrawn from the 2013 OBS Winter Mixed Sale.  // Withdrawn from the 2012 Fasig-Tipton Midlantic 2YOs in Training Sale. // Withdrawn from the 2012 OBS Spring 2YOs in Training Sale. // Bought by Miguel Angel Rubio Fernandez for $16,000 at the 2011 Keeneland September Yearling Sale.</t>
  </si>
  <si>
    <t>2nd gate work</t>
  </si>
  <si>
    <t>The Unstable LLC &amp; Martin brothers</t>
  </si>
  <si>
    <t>Had a filly by Tosen Homareboshi in 2015. // Bought by Estee Farm, Ltd for $51,500 (5.25 million yen) at the 2013 Jeiesun October Sale.  // Bought by Toshio Kanematsu for 8,505,000 yen (US$110,373) at the 2011 Chiba Thoroughbred Sale.</t>
  </si>
  <si>
    <t>Had a filly by Hard Spun in 2015. // Bred to King's Best in 2013. // Retired in 2012 and brd to Meisho Samson. // Bought by Niikappu Taganofamu Ltd. For $58,750 at the 2012 Hokkaido Jeisu October Sale. // Foaled in Japan. Stinger, out of the Affirmed mare Legacy of Strength, is by Sunday Silence and is full to G2 winner Silent Happiness.</t>
  </si>
  <si>
    <t>Had a filly by Deep Impact in 2015. // Reportedly has been retired for breeding, as of March, 2014. // Debut winner on December 4, 2010. // Exported to Japan. // Noble Stella's first foal -- her dam is a G1 winner). Smarty Jones' broodmare sire, Smile, is from the same tail female family as Monsun.</t>
  </si>
  <si>
    <r>
      <rPr>
        <sz val="9"/>
        <rFont val="Wingdings"/>
        <charset val="2"/>
      </rPr>
      <t>t</t>
    </r>
    <r>
      <rPr>
        <sz val="9"/>
        <rFont val="Arial"/>
        <family val="2"/>
      </rPr>
      <t xml:space="preserve"> Ess Martina-URU</t>
    </r>
  </si>
  <si>
    <r>
      <rPr>
        <sz val="9"/>
        <rFont val="Wingdings"/>
        <charset val="2"/>
      </rPr>
      <t>t</t>
    </r>
    <r>
      <rPr>
        <sz val="9"/>
        <rFont val="Arial"/>
        <family val="2"/>
      </rPr>
      <t xml:space="preserve"> Temeraria-URU</t>
    </r>
  </si>
  <si>
    <t>Aurinegra</t>
  </si>
  <si>
    <t>Maria Ximena</t>
  </si>
  <si>
    <t>M Marerro</t>
  </si>
  <si>
    <t>R-GG, Jun-15</t>
  </si>
  <si>
    <t>Conquest Too Smart</t>
  </si>
  <si>
    <t>Greenmoon Stables LLC</t>
  </si>
  <si>
    <t>T Richards</t>
  </si>
  <si>
    <t>Malvácea (BRZ)</t>
  </si>
  <si>
    <t>Death report submitted to the Jockey Club. // Removed from the 2009 Fasig-Tipton Midatlantic December Mixed Sale.</t>
  </si>
  <si>
    <t>Started breeding career in 2013. // Bought by Jose Luis Espinoza for $13,000 at the 2010 Keeneland November Breeding Stock Sale. // Debut winner in October 2009. // Removed from the 2008 Fasig-Tipton Eastern Fall Yearling Sale. // Bought for $200,000 by Shadwell Estate at the 2007 November Keeneland Horses of All Ages Sale.</t>
  </si>
  <si>
    <t>Key Cheyne</t>
  </si>
  <si>
    <t>Mama Jones</t>
  </si>
  <si>
    <t>Removed from tracking after showing no activity dating back to 2012.</t>
  </si>
  <si>
    <t>Unknown - 2011</t>
  </si>
  <si>
    <t>Removed from tracking after showing no activity dating back to 2011.</t>
  </si>
  <si>
    <t>Died - 2015</t>
  </si>
  <si>
    <t>5/13</t>
  </si>
  <si>
    <t>R-RUS, Jun-15</t>
  </si>
  <si>
    <t>On June 27, 2015, went down on a wet-fast rack at parx and was humanely euthanized</t>
  </si>
  <si>
    <t>Md Allowance 3YO</t>
  </si>
  <si>
    <t>Assumed retired on the basis of three years inactivity dating back to July 2012. // Exported to Russia. // Bought by G.E.O. for $20,000 at the 2008 Keeneland September Yearling Sale, consigned by Taylor Made Sales Agency, Agent for Stonestreet Thoroughbred Holdings LLC. // Shy Eda is an unraced half-sister to South American G1 winner Cruzan Gold and is the dam of two G2 winners who were both G1 placed. Danzig is her broodmare sire and her female family includes such greats as Miswaki, Lacovia, High Brite, Jump Start, etc.</t>
  </si>
  <si>
    <t>Assumed retired on the basis of three years inactivity dating back to July 2012.</t>
  </si>
  <si>
    <t>R-Btr, Jul-15</t>
  </si>
  <si>
    <t>Thistledown</t>
  </si>
  <si>
    <t>12/23</t>
  </si>
  <si>
    <t>Assumed retired on the basis of three years inactivity dating back to 2012. // Winner in Azerbijan. // As of July 2008, in training with Ian Wilkes and Carl Nafzger. // "Baku" is the the capital city of Huseynov's native Azerbaijan. // Bought for $75,000 by H. Albina, Agent for Mamet Guseynov (or Mammad Huseynov), at the Keeneland April 2008 Sale of 2YO in Training, consigned by Jerry Bailey Sales Agency.  Mamet Guseynov is an official with an organization trying to establish horse racing in Russia and the former Russian republics of Azerbaijan and Georgia. // Bought by Briggs &amp; Cromartie Bloodstack for $45,000 at the 2006 OBS Fall Mixed Sale. // Offered at 2007 Keeneland September Yearling Sale, consigned by Gainesway. Reserve not attained. // "The most exceptional foal we have ever seen. This colt is unbelievable -- just an exceptional individual." (owner Dr. James Culver) // Dance On The Green (in foal to Smarty Jones) was offered at the 2005 Keeneland November Breeding Stock Sale; reserve not attained.</t>
  </si>
  <si>
    <t>Dynasir</t>
  </si>
  <si>
    <t>Assumed retired on the basis of three years inactivity dating back to September 2012. // Exported to Russia. // Bought by Stone Bridge Bloodstock for $50,000 at the 2008 Keeneland September Yearling Sale, consigned by Bluewater Sales LLC, Agent for Dixiana Farm LLC. // Starboard Tack has produced two stakes winners, one the G3 winner/G2 placed colt (by Woodman) Patience Game and the other is Star Queen, a filly by Kingmambo. // Bought by Dixiana Farm for $20,000 at the 2007 Keeneland November Breeding Stock Sale, consigned by Eaton Sales, Agent.</t>
  </si>
  <si>
    <t>Assumed retired on the basis of three years inactivity dating back to September 2012. // As of December 2010, Smarty Smarty is owned by Big Valley Stable and trained by Hideyuki Takaoka and is based in Singapore. // Offered at the 2010 Barretts March Select Sale, but did not sell (high bid: $37,000). // Withdrawn from the 2009 Keeneland September Yearlings Sale. // Saintcerely (in foal to Smarty Jones) was offered at the 2007 Keeneland November Breeding Stock Sale, but reserve not achieved ($375,000). // Saintcerely is a half-sister to Octave and Belle Cherie. // Mare serviced on March 24, 2007.</t>
  </si>
  <si>
    <t xml:space="preserve">Assumed retired on the basis of three years inactivity dating back to December 2012. // Bought by Stud Bariloche for $4,500 at the 2009 Keeneland September Yearlings Sale. </t>
  </si>
  <si>
    <t>Assumed retired based on three years of inactivity dating back to August 2012. // Debut winner on June 12, 2011. // Racing in Russia. // Sold for $12,000 to Raut LLC at the 2009 Keeneland November Breeding Stock Sale.</t>
  </si>
  <si>
    <t>Assumed retired based on three years of inactivity dating back to October 2012. // Bought by Raut LLC for $10,000 at the 2010 Keeneland September Yearling Sale</t>
  </si>
  <si>
    <t>Assumed retired based on three years of inactivity dating back to December 2012. // Broodmare (in foal to Smarty Jones) sold for $40,000 at the 2008 November Keenland Breeding Sale.</t>
  </si>
  <si>
    <t>Almoar Rekh-KSA</t>
  </si>
  <si>
    <r>
      <rPr>
        <sz val="9"/>
        <rFont val="Wingdings"/>
        <charset val="2"/>
      </rPr>
      <t>t</t>
    </r>
    <r>
      <rPr>
        <sz val="9"/>
        <rFont val="Arial"/>
        <family val="2"/>
      </rPr>
      <t xml:space="preserve"> Hegel-URU</t>
    </r>
  </si>
  <si>
    <t>Paysandu URU</t>
  </si>
  <si>
    <t>Melo URU</t>
  </si>
  <si>
    <t>Toe Tapper</t>
  </si>
  <si>
    <t>Had a colt by Empire Maker in 2015. //  Had a colt by Empire Maker in 2014. // Retired in 2012 and bred to Danon Chantilly in 2013. // Bought by Jiro Sugimoto Sen for 777million yen ($9,827,962) at the 2009 Hokkaido Autumn Sale. // Foaled in Japan.</t>
  </si>
  <si>
    <t>Debut winner on July 19, 2015. // Mare serviced November 8, 2011.</t>
  </si>
  <si>
    <r>
      <rPr>
        <sz val="9"/>
        <rFont val="Wingdings"/>
        <charset val="2"/>
      </rPr>
      <t>t</t>
    </r>
    <r>
      <rPr>
        <sz val="9"/>
        <rFont val="Arial"/>
        <family val="2"/>
      </rPr>
      <t xml:space="preserve"> Hija Atrevida-URU</t>
    </r>
  </si>
  <si>
    <t>Decano Oriental</t>
  </si>
  <si>
    <t>F Palles</t>
  </si>
  <si>
    <t xml:space="preserve">Bred to Afleet Alex in 2015. // Bred to Wilko in 2013. // Smarty Jill had a colt by Tiz Wonderful (Tiznow) on March 14, 2013. // Debut winner on June 30, 2010. // Bought by Riversedge Racing Stable for $60,000 at the 2010 OBS Selected Two-Year-Olds in Training Sale.  </t>
  </si>
  <si>
    <t>Bred to Hat Trick in 2015.  // Sold for $50,000 to Endeavor Farm at the 2015 Keeneland January Sale, in foal to Midnight Lute. // Bred to Midnight Lute in 2014. // Bred to Broken Vow in 2013. // Had a colt by Blame in 2012. // Debut winner on October 24, 2009. // As of October 2009, Sweet Sophia races under the ownership of "Sweet Sophia, Inc.", headed by James H. Click, Jr. of Tucson Arizona. // Bought by Gary Mandella, Agent, for $150,000 at the 2008 Keeneland September Yearling Sale, consigned by Justice Farm. // Colonial Ally is the dam of two stakes winners, a G3 winner and a multiple G2 and G3 placed winner.</t>
  </si>
  <si>
    <t>S-FL, Jul-15</t>
  </si>
  <si>
    <t>Bred to Going Commando, a winning half-brother to Rockport Harbor, in 2015. // Offered at the 2010 OBS March Two-Year-Old Sale, but did not seel (high bid: $34,000). // Bought by Journeyman Bloodstock, Agent for $20,000 at the 2009 Keeneland January Horses of All Ages Sale. // Removed from the 2008 Keeneland November Breeding Stock Sale.</t>
  </si>
  <si>
    <t>Bred to English Channel in 2015.  // Bought by Calumet Farm for $15,000 at the 2015 F-T Kentucky Winter Mixed Sale. // Bought by Olympia Star, Inc. for $17,000 at the 2012 Keeneland November Breeding Stock Sale, as a broodmare prospect (in foal to Macho Uno). // Removed from the Keeneland 2011 January Horses of All Ages Sale, as a broodmare prospect. // Removed from the 2009 OBS March Selected Sale of Two-Year-Olds in Training. // Removed from the 2008 Keeneland September Yearling Sale, consigned by Lane's End, Agent. // Bought by Ten Broeck Farm for $300,000 at the 2007 Keeneland November Breeding Stock Sale, consigned by Parrish Hill Farm, Agent</t>
  </si>
  <si>
    <t>Bred to Northern Afleet in 2015. // Bought by Anglea Ingenito for $12,000 at the 2014 OBS Winter Mixed Sale, believed to be in foal to First Dude (Stephen Got Even). She's in the Consignor Preferred Sale. // Had a foal by Kantharos (Lion Heart) on January 18, 2013. // Bought by Todd Quast, Agent for Goldmark for $200,000 at the 2008 Keeneland September Yearling Sale, consigned by Taylor Made Sales Agency, Agent. Originally, this colt sold for $700,000 but a problem with the signature required him to go back to the ring where he went for the stated price. // Bought by Ten Broeck Farm for $190,000 at the 2007 Keeneland November Breeding Stock Sale, consigned by Three Chimneys Sales, Agent</t>
  </si>
  <si>
    <t>Bred to Majesticperfection, sire of Lovely Maria, in 2015. // Thundercup Bought by Gregory Peck for $2,700 at the 2010 Keeneland September Yearling Sale. // Broodmare Thundercup was bought by Olin Gentry, Agent, for $40,000 at the 2008 Keeneland November Breeding Stock Sale, mated to Smarty Jones, last service February 11, 2008 (believed to be PREGNANT).</t>
  </si>
  <si>
    <t>Most Career Starts</t>
  </si>
  <si>
    <t xml:space="preserve">Smart Event </t>
  </si>
  <si>
    <t>Handicap [S] 3YO&amp;up</t>
  </si>
  <si>
    <t xml:space="preserve">Retired in 2013, then returns to racing in July 2015. // Bred to Gone Astray in 2013 and had a filly in 2014. // Debut winner on March 4, 2011. // Bought by Jack H. Smith, III for $6,000 at the 2009 Keeneland September Yearlings Sale. </t>
  </si>
  <si>
    <t>Assumed retired on te basis of no activity dating back to August 2012. // Removed from the 2010 Keeneland September Yearling Sale</t>
  </si>
  <si>
    <t>Bred to Pioneerof The Nile in 2015. // Bred to Madalio D'Oro in 2014. // Bred to Tapit in 2011. Foal, Taparri, won her debut as a 2YO in 2014. // Offered at 2007 Keeneland September Yearling Sale, consigned by Lane's End. Withdrawn from sale. // Summerwind Farm manager Mark Maloney says this is a "nice sized, correct, solid, good looking filly." // Owned and bred by Summer Wind Farm.</t>
  </si>
  <si>
    <t>Bred to Gemologist in 2015. // Bought by Pleasant Crest Farm (Ocala FL) for $3,500 at the 2015 F-T Kentucky Winter Mixed Sale. // Bought by Heather Hrymak for $15,000 at the 2012 Keeneland November Breeding Stock Sale, as a broodmare or racing prospect</t>
  </si>
  <si>
    <t xml:space="preserve">Bred to Strong Mandate in 2015. // Bred to Liaison in 2014. // Bought by Jay Goodwin for $4,000 at the 2012 OBS Fall Mixed Sale, as a broodmare prospect, bred to Mizzen Mast. // Rich in Spirit's dam, Qualatative, has a 2YO colt and a yearling filly by Smarty, as well. </t>
  </si>
  <si>
    <t>Bred to Fed Biz in 2015. // A yearling colt o/o Be Smart by Malibu Moon sold for $500,000 at the 2014 Keeneland Yearling Sale. // Bred to Super Saver in 2014. // Offered but did not sell (RNA at $290,000) at the 2010 Keeneland November Breeding Stock Sale. In foal to Tiznow. // According to owner, Tom Van Meter: Be Smart came out of the Breeders' Cup Juv. Fillies with a chip in her knee.  They removed the chip and planned to bring her back this spring. X-rays taken before starting serious training showed the chip had taken too much bone away from the knee. She was retired in 2009 and is in foal to Indian Charlie. // First Smarty Jones foal to be entered in a Breeders Cup race -- the 2008 Juvenile Fillies. // First Smarty foal to place in a graded stakes and a Grade 1 stakes. // Debut winner at odds of 49/1. // As of July 2008, this filly is owned by Van Meter II and F. Thomas, and is in training at Saratoga under D. Wayne Lukas. // Bought by Lukas Enterprises, Inc for $325,000 at 2007 Keeneland September Yearling Sale, consigned by Taylor Made Sales Agency. // Breeder: Gulf Coast Farms LLC</t>
  </si>
  <si>
    <t xml:space="preserve">Bred to Brilliant Speed in 2015. // Bred to Pleasantly Perfect in 2014. // Racing in December 2011 at Penn National, she pulled up lame and was vanned off.  // Bought by Dennis Kendall, Jr. for $15,000 at the 2010 Fasig-Tipton Midlantic December Mixed Sale. // Bought by Who dat Racing LLC for $4,500 at the 2009 Keeneland September Yearlings Sale. </t>
  </si>
  <si>
    <t>Bred to Yes It's True in 2015. // Bought for $5,000 by Stephen Sinatra at the 2013 Fasig-Tipton Saratoga Fall Mixed and Horses of Racing Age Sale, in foal to Desert Party. // Bought by Stephen Sinatra for $8,000 at the Fasig-Tipton 2009 NY Bred Preferred Yearlings Sale.</t>
  </si>
  <si>
    <t>Bred to Exchange Rate in 2015. // Offered at the 2014 Keeneland November Breeding Stock Sale but did not sell (RNA at $50,000). // Bred to Paynter in 2014. // Bred to Tapizar in 2013. // Offered at the 2009 Keeneland September Yearlings Sale, but did not sell (top bid $49,000). // Shy Greeting (ARG) (in foal to Smarty Jones) was bought for $240,000 by Cecil Seaman, Agent at the 2007 Keeneland November Breeding Stock Sale. // Shy Greeting is the dam of Argentine champion, Forty Greeta, and is half to a G1 producer. Her dam is half to US G2 winner, Good Command. Third dam is a half-sister to Argentine sire, Farnesio. // Mare serviced on February 26, 2007.</t>
  </si>
  <si>
    <t>Bred to Yes It's True in 2015. // Had a colt by Old Fashioned in 2015. // Withdrawn from the 2015 Keeneland January Sale, in foal to Old Fashioned. // Sun Valley Farm lists her as a broodmare. // Bought by Two Creek Partners for $14,500 at the 2010 Keeneland November Breeding Stock Sale. // Wendy Vaala foaled a Smarty colt in 2009 and was bred back to him in 2009.</t>
  </si>
  <si>
    <t>R-Mth, Aug-15</t>
  </si>
  <si>
    <t>R-Sar, Aug-15</t>
  </si>
  <si>
    <t>Aria</t>
  </si>
  <si>
    <t>Elnadim</t>
  </si>
  <si>
    <t>Forensic Edge</t>
  </si>
  <si>
    <t>Smartly Mine</t>
  </si>
  <si>
    <t>Kiss Me Kellan</t>
  </si>
  <si>
    <t>Belong to Me</t>
  </si>
  <si>
    <t>Unrehearsed</t>
  </si>
  <si>
    <t>J&amp;S Stables</t>
  </si>
  <si>
    <t>Stephen Glessner and Donna Tullner</t>
  </si>
  <si>
    <t>Ashton Girl-IRE</t>
  </si>
  <si>
    <t>Bobby W. Austin</t>
  </si>
  <si>
    <t>Michael DeSaye</t>
  </si>
  <si>
    <t>Paul Conaway</t>
  </si>
  <si>
    <t>Smarties Claimed in 2015</t>
  </si>
  <si>
    <t>Officially retired from racing as of July 20, 2015. // Tripped and fell in traffic in race on October 5, 2013. Returned to the races a month later. // From Alastair: "Smarty Encore [now "Get the Rhythm"] arrived in Korea on July 23rd. She is owned by Segye Consul, the same owners as Smarty Moonhak. Beyond that there's not much to report, she's not been registered for racing yet and is still at the acclimation farm, not at the racetrack yet - although  Segye run their horses at Seoul so that is where I expect her to do her racing." // Originally named, "Smarty Encore." // Bought by Pony World Farm for $5,500 at the 2012 OBS June Sale of 2YOs &amp; Horses of Racing Age.</t>
  </si>
  <si>
    <t>Officially retired from racing as of June 12, 2015. // Exported in June 2012 to Korea. // Bought by KOID (Korea) for $8,500 at the 2012 Fasig-Tipton Kentucky Winter Mixed Sale. // Bought by International Bloodstock Associates for $25,000 at the 2011 Keeneland September Yearling Sale.</t>
  </si>
  <si>
    <t>Officially retired from racing as of May 15, 2015. // The name translates roughly to, "irresistable force." // Exported in June, 2013 to Korea. // Bought by Soon Do Kim for $15,000 at the 2013 Barretts' May Sale. // Bought by Hi Country for $6,000 at the 2012 Fasig-Tipton Kenucky Fall Yearlings Sale</t>
  </si>
  <si>
    <t>FL - Hallandale</t>
  </si>
  <si>
    <t>Hija Grande</t>
  </si>
  <si>
    <t>OH - Cleveland</t>
  </si>
  <si>
    <t>Debut winner on August 15, 2015</t>
  </si>
  <si>
    <t>Debut winner on August 16, 2015</t>
  </si>
  <si>
    <t>[Live foal reported]</t>
  </si>
  <si>
    <t>Name (Jerilyn) was submitted to the Jockey Club but it was rejected as too similar to a name already in use.</t>
  </si>
  <si>
    <t>gelding, dkb./br. (NJ)</t>
  </si>
  <si>
    <t>colt, b. (CA)</t>
  </si>
  <si>
    <t>colt, dkb./br. (NY)</t>
  </si>
  <si>
    <t>Scratched from debut race on 8/27/15, related to shin issues which may force his retirement. // Purchased last year by Melissa Abramowitz to honor her parents, who were both big Smarty Jones fans and who passed away last year. Dapper Dealer was in training as of October 2014.</t>
  </si>
  <si>
    <t>Assumed retired on the basis of three years' inactivity dating back to September 2012. // Bought by William Lawrence for $25,000 at the 2009 Keeneland September Yearlings Sale. // Mystery Trip is a half-sister to A.P. Indy and Summer Squall, and a 3/4 to Honor Grades. She had 2007 Smarty Jones colt foaled on February 14.</t>
  </si>
  <si>
    <t>Assumed retired on the basis of three years' inactivity dating back to September 2012. // Independent Grace's dam, Dance With Grace, is a stakes winning full sister to three other stakes winners including Souvenir Copy, G2 winner Dance Sequence as well as graded stakes placed sire Gold Tribute. Her dam is a graded stakes placed half-sister to Doneraile Court, among others. And Independent Grace herself is a full sister to G1 placed Indy Dancer.</t>
  </si>
  <si>
    <t>VA - Middleburg</t>
  </si>
  <si>
    <t>Debut winner on June 20, 2015. // Bought for $22,000 by agent Scott Lake for Eliott Krems. // Bought for $5,000 by Courtney Young at the 2013 Fasig-Tipton Midlantic Yearling Sale</t>
  </si>
  <si>
    <r>
      <rPr>
        <sz val="9"/>
        <rFont val="Wingdings"/>
        <charset val="2"/>
      </rPr>
      <t>t</t>
    </r>
    <r>
      <rPr>
        <sz val="9"/>
        <rFont val="Arial"/>
        <family val="2"/>
      </rPr>
      <t xml:space="preserve"> Good Bay-URU</t>
    </r>
  </si>
  <si>
    <t>Smarty Delight</t>
  </si>
  <si>
    <t>Early Delight</t>
  </si>
  <si>
    <t>Richard Harris, Jr.</t>
  </si>
  <si>
    <t>Hollywood Jones</t>
  </si>
  <si>
    <t>colt, dkb./br. (NJ)</t>
  </si>
  <si>
    <t>Paul Matties</t>
  </si>
  <si>
    <t>Smart N Speedy</t>
  </si>
  <si>
    <t>filly, dkb./br. (KY)</t>
  </si>
  <si>
    <t>Opening Speech</t>
  </si>
  <si>
    <t>E Dubai</t>
  </si>
  <si>
    <t>Nicole Cantin</t>
  </si>
  <si>
    <t>Ideal Relation</t>
  </si>
  <si>
    <t>W-Pen, Sep-15</t>
  </si>
  <si>
    <t>Anvers</t>
  </si>
  <si>
    <t>Caiambo</t>
  </si>
  <si>
    <t>El Rafa</t>
  </si>
  <si>
    <t>Carpe Diem (BRZ)</t>
  </si>
  <si>
    <t>R-Pen, Sep-15</t>
  </si>
  <si>
    <t>W-CT, Sep-15</t>
  </si>
  <si>
    <t>Broke down at the 3/8th pole and was euthanized. // Arrived at Parx Racing in June 2014 and is in the barn of trainer Keith Nations. // Aloft is a half sister to Officer.</t>
  </si>
  <si>
    <t>Little Smarty</t>
  </si>
  <si>
    <t>filly (BRZ)</t>
  </si>
  <si>
    <t>Tytan (URU)</t>
  </si>
  <si>
    <t>Retired, September 2015 to the Machmer Hall farm being let down, but will soon go into a retraining program, possibly at the Secretariat Center. His future adoptive home will be carefully chosen. // Had surgery to repair and stabilize a condylar fracture in his right front leg on November 3, 2013. Recovered and was moved back to Ellis' Hollywood Park barn on November 6. Ellis said CI will be moved to the farm for further healing for 4-6 months. He'll be x-rayed in January to determine progress and a prognosis for a return to racing, which Ellis estimates to be 70%-80%. // Entered in the 2013 Breeders' Cup Dirt Mile, but was eased late after sustaining a condylar fracture of the right front.  // Qualified for the 2013 Breeders Cup Dirt Mile by winning the Grade 1 Triple Bend Handicap at Hollywood Park in July 2013. // Bought by Ron Ellis for $90,000 at the 2009 Keeneland September Yearlings Sale. // Mrs. Chapman bought Shootforthestars in foal to Elusive Quality in 2006 and bred her back to Smarty. Shootforthestars has a colt by Smarty named Keefer, owned by Zayat Stables. Shootforthestars is a stakes producing half-sister to Fantasticat.</t>
  </si>
  <si>
    <t>Bred to Half Ours in 2015. // Dance The Slew is a stakes winner of over $200K. Her dam is a full sister to multiple G1 winner/sire Codex, and she is tail female to champion filly, Real Delight, matriarch of the amazing family of Alydar, Our Mims, Sugar and Spice, etc.</t>
  </si>
  <si>
    <t>Privately purchased by trainer Leland Hayes for an undisclosed sum in September 2015. // Bought by Clyde Rice for $4,500 at the 2013 OBS August Yearling Sale. Clyde is the father of Linda Rice, and also trains his own stable of horses.  // Sold privately for $12,000 sometime in 2012 [http://www.starquine.com/category/197/Weanlings/listings/1317/SMARTY-JONES-Weanling.html]. // Sold for $2,100 to Ernest Perez at the 2012 Fasig-Tipton Midlantic December Mixed Sale.</t>
  </si>
  <si>
    <t>Monster Racing Stables</t>
  </si>
  <si>
    <t>R-Hst, Sep-15</t>
  </si>
  <si>
    <r>
      <rPr>
        <sz val="9"/>
        <rFont val="Wingdings"/>
        <charset val="2"/>
      </rPr>
      <t>t</t>
    </r>
    <r>
      <rPr>
        <sz val="9"/>
        <rFont val="Arial"/>
        <family val="2"/>
      </rPr>
      <t xml:space="preserve"> Hessenheffer-URU</t>
    </r>
  </si>
  <si>
    <t>Los Propileos</t>
  </si>
  <si>
    <t>E Mendivil</t>
  </si>
  <si>
    <t>W-Bel, Sep-15</t>
  </si>
  <si>
    <t>PA - Grantville</t>
  </si>
  <si>
    <t>Ded</t>
  </si>
  <si>
    <t>Midnight Poker</t>
  </si>
  <si>
    <t>[registration pending]</t>
  </si>
  <si>
    <t>Denise Lingenfelter</t>
  </si>
  <si>
    <t>In training with John Servis, as of August 2015. // The broodmare, Philly Gal, died soon after foaling. The foal is reportedly fine.</t>
  </si>
  <si>
    <t>W-Del, Sep-15</t>
  </si>
  <si>
    <t>Foaled Multiple Group 1 Winner Quasar in 2011. // Bought by ABC Farms for $15,000 at the 2010 Keeneland November Breeding Stock Sale. In foal to Seeking the Dia. // Bought by Yoichi Aoyama for $27,000 at the 2009 Keeneland November Breeding Stock Sale. Is believed pregnant with a foal by Good Reward (by Storm Cat). //  The Sky Legend filly has been working at Saratoga in June 2008. // Offered at 2007 Keeneland September Yearling Sale, consigned by Three Chimneys Sales. Reserve not attained. // "A very nice baby, very leggy, good size, good bone, correct and nice bodied. Smarty really moved the mare up." (Three Chimneys broodmare manager Tony Burton). // Owned and bred by Tracy Farmer.</t>
  </si>
  <si>
    <t>gelding, dkb./br. (WV)</t>
  </si>
  <si>
    <t>Bought by Kaizen Sales Agent for $22,000 at the 2015 Keeneland September Yearling Sale. // Name claim submitted, April 3 (Close Contact). // Half to a mare Fascinatin' Rhythm) that is a multiple stakes winner and multiple graded stakes placed, and half to a stakes-placed colt (Ready for Action).</t>
  </si>
  <si>
    <t>Bought by Eladio Acevedo for $1,700 at the 2015 Keeneland September Yearling Sale. // Two names [Rhodium One and Palladium One] were submitted to the Jockey Club on May 31, 2015.  // Broodmare was bought by Jose Luis Espinoza for $13,000 at the 2013 December Midlantic Mixed Sale.</t>
  </si>
  <si>
    <r>
      <rPr>
        <sz val="9"/>
        <rFont val="Wingdings"/>
        <charset val="2"/>
      </rPr>
      <t>t</t>
    </r>
    <r>
      <rPr>
        <sz val="9"/>
        <rFont val="Arial"/>
        <family val="2"/>
      </rPr>
      <t xml:space="preserve"> Higuain-URU</t>
    </r>
  </si>
  <si>
    <t>Blanca Luna</t>
  </si>
  <si>
    <t>E Martinez</t>
  </si>
  <si>
    <t>Assumed retired with more than three years passing since last activity in October 2012. // Hey Smarty is owned and bred by Kaaren Biggs. As of July 2008, Hey Smarty is in training at Louisiana Downs under trainer Steve Wren. Hey Smarty is the third foal out of Miss Seffens, the multiple stakes winner of $500,000 Biggs and Wren campaigned almost a decade ago. // "He's a big strong, leggy individual with a great hip and shoulder and lots of quality -- and a flashycolt to boot." (Old Bradley Place manager Richie Donworth)</t>
  </si>
  <si>
    <t>Assumed retired with more than three years passing since last activity in October 2012. // Bought for $110,000 by Ben Glass, Agent at the 2007 Keeneland November Breeding Stock Sale, consigned by Eaton Sales, Agent for
Diamond Edge Farm and Bianca Francis Equine</t>
  </si>
  <si>
    <t>Let's Go Jojo</t>
  </si>
  <si>
    <t>Name registered with Jockey Club, was a rescue (by Tammi Jo Regan) from the race track after she had been privately purchased from Mrs. Chapman. Mrs. Chapman helped get the filly's name registered with a promise from Tammi that she wouldn't race her; but breeding was left as a possibility. // Withdrawn from the 2013 Fasig-Tipton Midlantic Yearling Sale</t>
  </si>
  <si>
    <t>LARC</t>
  </si>
  <si>
    <t>Had a Gemologist colt in 2015. // Had a colt by Big Brown on May 23, 2012. // Bought by Cecil Seaman, Agent, for $190,000 at the 2008 Keeneland September Yearling Sale, consigned by Threave Main Stud LLC, Agent.</t>
  </si>
  <si>
    <t>2015 Keeneland November Sale - Thursday, November 12</t>
  </si>
  <si>
    <t>2015 Keeneland November Sale - Friday, November 6</t>
  </si>
  <si>
    <t>2015 Keeneland November Sale - Monday, November 2</t>
  </si>
  <si>
    <t>R-Lth, Oct-15</t>
  </si>
  <si>
    <t>Bought by Ronney Brown for $9,500 at the 2015 F-T Midlantic Fall Yearling Sale</t>
  </si>
  <si>
    <t>Bought by Peter Angelos for $15,000 at the 2015 F-T Midlantic Fall Yearling Sale. // Name claim ("The Mick") was rejected on grounds of it is "in poor taste."</t>
  </si>
  <si>
    <t>J Rodriguez</t>
  </si>
  <si>
    <t>Bought by David Hoghes for $15,000 at the 2015 F-T Midlantic Fall Yearling Sale</t>
  </si>
  <si>
    <t>Smart Valor</t>
  </si>
  <si>
    <t>W-Pen, Oct-15</t>
  </si>
  <si>
    <t xml:space="preserve">Bred to Freedom Child (son of Malibu Moon) in 2015. // With Turning For Home as of September 2012. // Debut winner on December 11, 2011. // Trained by Chuck Simon, as of January 2011. // </t>
  </si>
  <si>
    <t>CA - Temecula</t>
  </si>
  <si>
    <t>Broke down after a race in February 2015</t>
  </si>
  <si>
    <t>Dignidad</t>
  </si>
  <si>
    <t>Harvest</t>
  </si>
  <si>
    <t>Mare serviced September 13, 2011. // Filly was originally named, Hallim.</t>
  </si>
  <si>
    <t>Mare serviced October 11, 2011. // Filly was originally named, Habrilia.</t>
  </si>
  <si>
    <r>
      <rPr>
        <sz val="9"/>
        <rFont val="Wingdings"/>
        <charset val="2"/>
      </rPr>
      <t>t</t>
    </r>
    <r>
      <rPr>
        <sz val="9"/>
        <rFont val="Arial"/>
        <family val="2"/>
      </rPr>
      <t xml:space="preserve"> Dignidad-URU</t>
    </r>
  </si>
  <si>
    <t>R Marerro</t>
  </si>
  <si>
    <t>Vista Clara</t>
  </si>
  <si>
    <t>Bred back to Papa Clem in 2013 and had another filly in 2014. // Had a Papa Clem filly (named Panshir) on March 25... and like her mom, she's a California-bred. // Dam was bought for $250,000 by Gayle VanLeer, Agent at the 2006 Keeneland November Breeding Stock Sale.</t>
  </si>
  <si>
    <t>breezing</t>
  </si>
  <si>
    <t>handily</t>
  </si>
  <si>
    <t>gallop</t>
  </si>
  <si>
    <t>Colonia URU</t>
  </si>
  <si>
    <t>Gulfstream Park West</t>
  </si>
  <si>
    <t xml:space="preserve">Bought by Racebrook Stables LLC for $6,000 at the 2015 F-T Saratoga Fall Sale (in foal to Posse). // Had a Posse colt in 2015 and was bred back to Posse in 2015. // Bred to Frost Giant in 2013. // Removed from the 2009 Fasig-Tipton Eastern Yearlings Sale after selling at Keeneland. // Sold for $45,000 to Barnett Stables at the 2009 Keeneland September Yearlings Sale. </t>
  </si>
  <si>
    <t>Go Smarty Go has been retired, sent to Pure Thoughts -- a rescue and rehab group in Loxahatchee FL, and will be retrained as a riding horse. // According to Jen Roytz of Three Chimney's Farm in Jabuary 2009: "Last time I talked to Go Smarty Go's trainer, the colt was in FL being legged up and jogging under tack." // Go Smarty Go was vanned off after his debut win in September 2008. Reports say he sustained a fractured cannon bone, has since undergone surgery, is recuperating comfortably, and, perhaps, may come back to race in 2009. // Go Smarty Go is a half-brother to 2 winners including Higher World, a stakes winner who earned $278,948 ($213,210 as a 2-year old). // Bought for $165,000 by Frank Alexander, agent, at the OBS 2008 March Selected Sale of 2YO in Training, consigned by Southern Cypress Stable LLC. // Bought by Southern Cypress Stable LLC for $35,000 at 2007 Keeneland September Yearling Sale, consigned by Legacy Bloodstock. // Sarah's World (in foal to Smarty Jones) was bought for $400,000 by Briggs and Cromartie Bloodstock, Agent at the 2005 Keeneland November Breeding Stock Sale. // Bred by Silverleaf Farms.</t>
  </si>
  <si>
    <t>Orbiter</t>
  </si>
  <si>
    <t>Full brother to 2012 colt, Orbit. // Name claims (Houdini and Gallivant) were rejected as too similar to an existing name.</t>
  </si>
  <si>
    <t>Jerilyn Rocks</t>
  </si>
  <si>
    <t>Unreported</t>
  </si>
  <si>
    <t>Cherry's Hunter</t>
  </si>
  <si>
    <t>Eliza Grace</t>
  </si>
  <si>
    <t>Slipped</t>
  </si>
  <si>
    <t>Gemstone's Jewel</t>
  </si>
  <si>
    <t>It's Ed's First</t>
  </si>
  <si>
    <t>Foal died</t>
  </si>
  <si>
    <t>Just for Lust</t>
  </si>
  <si>
    <t>Jill's Layup</t>
  </si>
  <si>
    <t>Kitty Cat Wins</t>
  </si>
  <si>
    <t>Noble Cat</t>
  </si>
  <si>
    <t>Kim DePasquale</t>
  </si>
  <si>
    <t>New</t>
  </si>
  <si>
    <t>Late Nite Laura</t>
  </si>
  <si>
    <t>Really Nice</t>
  </si>
  <si>
    <t>Robin's Anthem</t>
  </si>
  <si>
    <t>Set the Pace</t>
  </si>
  <si>
    <t>She's Fancy Free</t>
  </si>
  <si>
    <t>Stone Hope</t>
  </si>
  <si>
    <t>Abound</t>
  </si>
  <si>
    <t>Cole's Posse</t>
  </si>
  <si>
    <t>Firm Halo</t>
  </si>
  <si>
    <t>Five Diamonds</t>
  </si>
  <si>
    <t>From Gray to Gold</t>
  </si>
  <si>
    <t>Itakas Brianna</t>
  </si>
  <si>
    <t>Maggie O'Slew</t>
  </si>
  <si>
    <t>Neigh O Me</t>
  </si>
  <si>
    <t>Half Ours</t>
  </si>
  <si>
    <t>Pamela Arnold</t>
  </si>
  <si>
    <t>Pagan Love</t>
  </si>
  <si>
    <t>Perfectly Polish</t>
  </si>
  <si>
    <t>R Earl's Sister</t>
  </si>
  <si>
    <t>Cleon Cassel</t>
  </si>
  <si>
    <t>Silver Scholar</t>
  </si>
  <si>
    <t>Vodka Gal</t>
  </si>
  <si>
    <t>D. J. Stable</t>
  </si>
  <si>
    <t>Miss Jazzmin</t>
  </si>
  <si>
    <t>Summons</t>
  </si>
  <si>
    <t>Beacon of Hope</t>
  </si>
  <si>
    <t>Cachinnated</t>
  </si>
  <si>
    <t>Centripetal Motion</t>
  </si>
  <si>
    <t>Coral Cay</t>
  </si>
  <si>
    <t>Did You Know</t>
  </si>
  <si>
    <t>Fire Monkey</t>
  </si>
  <si>
    <t>Got a Surprise</t>
  </si>
  <si>
    <t>Gulf of Gdansk</t>
  </si>
  <si>
    <t>J. D. Safari</t>
  </si>
  <si>
    <t>Leigh's Last Power</t>
  </si>
  <si>
    <t>Li'lbito'sunshine</t>
  </si>
  <si>
    <t>Lydia's Lullaby</t>
  </si>
  <si>
    <t>Marcie Lee</t>
  </si>
  <si>
    <t>Marquee Kelly</t>
  </si>
  <si>
    <t>Missiled</t>
  </si>
  <si>
    <t>Moochie Too</t>
  </si>
  <si>
    <t>My Memories</t>
  </si>
  <si>
    <t>Old Soul</t>
  </si>
  <si>
    <t>Our Diva</t>
  </si>
  <si>
    <t>Probational Dancer</t>
  </si>
  <si>
    <t>Queen Chatanika</t>
  </si>
  <si>
    <t>Run for Riches</t>
  </si>
  <si>
    <t>Scheing E. Jet</t>
  </si>
  <si>
    <t>Schuylkilla</t>
  </si>
  <si>
    <t>Shadowofyourwings</t>
  </si>
  <si>
    <t>Studios</t>
  </si>
  <si>
    <t>Sweet Ginger Brown</t>
  </si>
  <si>
    <t>Tapit Precious</t>
  </si>
  <si>
    <t>Tizling</t>
  </si>
  <si>
    <t>Violet Eyed Diva</t>
  </si>
  <si>
    <t>Queen Kennelot</t>
  </si>
  <si>
    <t>Northview shows as "unreported"</t>
  </si>
  <si>
    <t>Love Your Smile</t>
  </si>
  <si>
    <t>My Moonbeam</t>
  </si>
  <si>
    <t>Piccolo Honey</t>
  </si>
  <si>
    <t>Royal Marquesa</t>
  </si>
  <si>
    <t>Tor</t>
  </si>
  <si>
    <t>R-HNM, Sep-15</t>
  </si>
  <si>
    <t>S-HNM, Sep-15</t>
  </si>
  <si>
    <t>S-HNM, May-15</t>
  </si>
  <si>
    <t>S-HNM, Jun-15</t>
  </si>
  <si>
    <t>R-HNM, Nov-15</t>
  </si>
  <si>
    <t xml:space="preserve">Assumed retired on the basis of three years inactivity dating back to November 2012. // Bought by Stanley Seelig for $15,000 at the 2009 Keeneland September Yearlings Sale. </t>
  </si>
  <si>
    <t>Standing at stud at Oxford Farm (PA). // Debut winner on May 19 at Parx Racing.</t>
  </si>
  <si>
    <t>R-CT, Nov-15</t>
  </si>
  <si>
    <t>W-Bel, Nov-15</t>
  </si>
  <si>
    <r>
      <rPr>
        <sz val="9"/>
        <rFont val="Wingdings"/>
        <charset val="2"/>
      </rPr>
      <t>t</t>
    </r>
    <r>
      <rPr>
        <sz val="9"/>
        <rFont val="Arial"/>
        <family val="2"/>
      </rPr>
      <t xml:space="preserve"> Hugo Boss-URU</t>
    </r>
  </si>
  <si>
    <t>San Feliz</t>
  </si>
  <si>
    <t>R-Lrl, Nov-15</t>
  </si>
  <si>
    <t>Power by Far</t>
  </si>
  <si>
    <t>R Cardoza</t>
  </si>
  <si>
    <t>URUGUAY-HNM</t>
  </si>
  <si>
    <t>URUGUAY-HLP</t>
  </si>
  <si>
    <t>URUGUAY-SINT</t>
  </si>
  <si>
    <t>Bought by Windsworth Farms for $10,000 at the 2015 Keeneland November Sale, in foal to Caleb's Posse.</t>
  </si>
  <si>
    <t>R-Mvr, Nov-15</t>
  </si>
  <si>
    <t>Hillary C</t>
  </si>
  <si>
    <t>Smarty Pi</t>
  </si>
  <si>
    <t>Dynasmart</t>
  </si>
  <si>
    <t>Papa Jones</t>
  </si>
  <si>
    <t>Marty McFly</t>
  </si>
  <si>
    <t>First name submitted, Django Uncheyned, was rejected because of "commercial, artistic or creative significance." Second name, Cheyne of Command, was rejected as too similar to an existing name (Chain of Command). A third name, Cheyne of Events, was not submitted when another "Chain of Events" name was discovered.</t>
  </si>
  <si>
    <t>Total Stallion Career Starts</t>
  </si>
  <si>
    <t>Total Stallion Career Wins</t>
  </si>
  <si>
    <t>Total Stallion Career Earnings</t>
  </si>
  <si>
    <t>Golden Express</t>
  </si>
  <si>
    <t>Malaya/Singapore</t>
  </si>
  <si>
    <t>Retired to stud in Florida for quarterhorse mares. // Bought by Elias Lubbat for $25,000 at the 2012 OBS Spring 2YOs in Training Sale. //  Bought by "Off the Hook" for $5,000 at the 2010 Keeneland November Breeding Stock Sale.</t>
  </si>
  <si>
    <t>Posted for sale as show/event horse. // Removed from the 2008 Saratoga Selected Yearlings Sale, consigned by Eaton Sales.</t>
  </si>
  <si>
    <t>Alex Kazdan</t>
  </si>
  <si>
    <t>E Barker</t>
  </si>
  <si>
    <t>1/15</t>
  </si>
  <si>
    <t>A Ramgeet</t>
  </si>
  <si>
    <t>Arrowwood Farm, Inc.</t>
  </si>
  <si>
    <t>Flatter</t>
  </si>
  <si>
    <t>Itaka</t>
  </si>
  <si>
    <t>Riverview Farms LLC</t>
  </si>
  <si>
    <t>colt (WV)</t>
  </si>
  <si>
    <t>Pentelicus</t>
  </si>
  <si>
    <t>Nancy Camp</t>
  </si>
  <si>
    <t>Street Cry-IRE</t>
  </si>
  <si>
    <t>Cheyne of Events</t>
  </si>
  <si>
    <t>W-Bel, Dec-15</t>
  </si>
  <si>
    <t>5/20</t>
  </si>
  <si>
    <t>3/14</t>
  </si>
  <si>
    <t>Edwin C. and Janice Jenkins</t>
  </si>
  <si>
    <t>R-Pen, Dec-15</t>
  </si>
  <si>
    <t>R-HNM, Dec-15</t>
  </si>
  <si>
    <t>R-Prx, Dec-15</t>
  </si>
  <si>
    <t>S-CT, Nov-15</t>
  </si>
  <si>
    <t>FL - Boynton Beach</t>
  </si>
  <si>
    <t>Another Smart One</t>
  </si>
  <si>
    <t>2016 Keeneland January Sale - Thursday, January 14</t>
  </si>
  <si>
    <t>2016 Keeneland January Sale - Wednesday, January 13</t>
  </si>
  <si>
    <t>Offered for sale ($22,500) on the Race Horse Stock website, as of December 2015. //  Offered, but did not sell (RNA, $12,000), at the 2014 Fasig-Tipton Midlantic September Yearling Sale. // Broodmare was bought by Suzanne M. Ebbert for $1,000 at the 2012 Fasig-Tipton Midlantic December Mixed Sale, believed to be pregnant. // Serviced May 5, 2012.</t>
  </si>
  <si>
    <t>Bred to Malibu Moon in 2015. // Bred to Yes It's True in 2014</t>
  </si>
  <si>
    <t>King Abdullah A/Aziz Racecourse (KSA)</t>
  </si>
  <si>
    <t>Ima Smarty Cat</t>
  </si>
  <si>
    <t>Death Report submitted to Jockey Club</t>
  </si>
  <si>
    <t>Bought for $40,000 by Santa Escolastica at the 2010 Keeneland January Horses of All Ages Sale. Listed as a broodmare prospect. // Artisan is owned and bred by H. Alexander, H. Groves and D. Matz LLC and trained by Michael Matz.  // Alchemilla is a stakes winner who earned over $200,000. Artisan is her second foal.</t>
  </si>
  <si>
    <t>Foaled Grade 1 Winner Navicello in 2011. // Sold for $13,000 to Santa Escolastica at the 2009 Keeneland November Breeding Stock Sale. Believed to be pregnant with a foal by Political Force (Unbridled's Song). // "Smart ‘n Snazzy has been learning the racing ropes at a farm in Ocala, Fla. Now owned by Dixon’s wife, the filly is expected at Michael Matz’s barn in Fair Hill in [mid-May]." (May 3, Terry Conway, The Daily Local) // "Beautiful filly. Mare and foal are doing well and have already been featured on the front page of The Philadelphia Inquirer and on three local news programs." (Farm manager Rick Abbot) // Solvig (in foal to Smarty Jones) was bought for $950,000 by Erdenheim Farm at the 2006 Keeneland January Horses of All Ages Sale.</t>
  </si>
  <si>
    <t>2016 Barrett's January Sale - Wednesday, January 20</t>
  </si>
  <si>
    <t>Backgroumd: Young mare who was unplaced in two starts.  2nd dam was stakes placed and third dam multiple graded placed.  Fifth dam Refined was 2YO champion in Ireland.</t>
  </si>
  <si>
    <t>MdCl25000 [S] 3YO</t>
  </si>
  <si>
    <t>Clásico Gran Premio Polla de Potrillos 3YO</t>
  </si>
  <si>
    <t>Non-winners at HNM 3YO</t>
  </si>
  <si>
    <t>Haras Prados del Este</t>
  </si>
  <si>
    <t>Don Nivert</t>
  </si>
  <si>
    <t>G Corrales</t>
  </si>
  <si>
    <t>StOptCl25000 4YO&amp;up</t>
  </si>
  <si>
    <t>Died  - 2013</t>
  </si>
  <si>
    <t xml:space="preserve">In Japan [http://www.jbis.jp/horse/0001132138/] // Bought by Alex Garcia Romero, Agent, for $50,000 at the 2008 Keeneland September Yearling Sale, consigned by Eaton Sales, Agent for Overbrook Farm. </t>
  </si>
  <si>
    <t xml:space="preserve">Had a colt by Ide in 2015. // Bought by Richard G. Rowan for $4,000 at the 2009 Keeneland September Yearlings Sale. </t>
  </si>
  <si>
    <t>Kentucky</t>
  </si>
  <si>
    <t>Ohio</t>
  </si>
  <si>
    <t>mare, ch. (ALB)</t>
  </si>
  <si>
    <t>mare, ch. (OK)</t>
  </si>
  <si>
    <t>mare, dkb./b. (IA)</t>
  </si>
  <si>
    <t>horse, dkb./b. (PA)</t>
  </si>
  <si>
    <t>also-eligible, scratched</t>
  </si>
  <si>
    <t>standby, scratched</t>
  </si>
  <si>
    <r>
      <rPr>
        <strike/>
        <sz val="9"/>
        <rFont val="Wingdings"/>
        <charset val="2"/>
      </rPr>
      <t>t</t>
    </r>
    <r>
      <rPr>
        <strike/>
        <sz val="9"/>
        <rFont val="Arial"/>
        <family val="2"/>
      </rPr>
      <t xml:space="preserve"> Smarty Baby-URU</t>
    </r>
  </si>
  <si>
    <t>early scratch</t>
  </si>
  <si>
    <t>M Franco</t>
  </si>
  <si>
    <t>AllOptCl50000 3YO</t>
  </si>
  <si>
    <t>Cl25000 3YO</t>
  </si>
  <si>
    <t>Heart Jones</t>
  </si>
  <si>
    <t>sent off as favorite</t>
  </si>
  <si>
    <t>1/76</t>
  </si>
  <si>
    <t>25/40</t>
  </si>
  <si>
    <t>8/45</t>
  </si>
  <si>
    <t>Hotch</t>
  </si>
  <si>
    <t>30/40</t>
  </si>
  <si>
    <t>This 5YO horse just had his first gate work</t>
  </si>
  <si>
    <t>Smart Two  a T</t>
  </si>
  <si>
    <t>L Cáceres</t>
  </si>
  <si>
    <t>H Lazo</t>
  </si>
  <si>
    <t>Hipódromo Las Piedras (URU)</t>
  </si>
  <si>
    <t>Hipódromo Nacional de Maroñas (URU)</t>
  </si>
  <si>
    <t>New track record</t>
  </si>
  <si>
    <t>Multiple Winners in 2016</t>
  </si>
  <si>
    <t>10/85</t>
  </si>
  <si>
    <t>55/61</t>
  </si>
  <si>
    <t>Back to Florida for the winter, had been off since August</t>
  </si>
  <si>
    <t>70/118</t>
  </si>
  <si>
    <t>Maryland</t>
  </si>
  <si>
    <t>Onthestraitanarrow</t>
  </si>
  <si>
    <t>C Bueno</t>
  </si>
  <si>
    <t>10/40</t>
  </si>
  <si>
    <t>With Little Help</t>
  </si>
  <si>
    <t>W Maciel</t>
  </si>
  <si>
    <t>C Méndez</t>
  </si>
  <si>
    <t>D Araújo</t>
  </si>
  <si>
    <t>Thomas Finnachio</t>
  </si>
  <si>
    <t>F Stites</t>
  </si>
  <si>
    <t>Fire Plug Stakes 4YO&amp;up</t>
  </si>
  <si>
    <t>Someday Farm</t>
  </si>
  <si>
    <t>John Servis</t>
  </si>
  <si>
    <t>J Chamafi</t>
  </si>
  <si>
    <t>Stud Car-12</t>
  </si>
  <si>
    <t>O Pugliese</t>
  </si>
  <si>
    <t>Stakes Winners in 2016</t>
  </si>
  <si>
    <t>Top Earners in 2016</t>
  </si>
  <si>
    <t>All/Hcp Winners in 2016</t>
  </si>
  <si>
    <t>Maiden Graduates in 2016</t>
  </si>
  <si>
    <t>Cl15000 4YO&amp;up</t>
  </si>
  <si>
    <t>ML odds favorite</t>
  </si>
  <si>
    <t>Deerfield Farm Racing, Margaret Woodside, Dan Woodside, and Carol W. Hebel</t>
  </si>
  <si>
    <t>D Grego</t>
  </si>
  <si>
    <t>A Jimenez</t>
  </si>
  <si>
    <t>MdSpWt [S] 3YO</t>
  </si>
  <si>
    <t>Leslie A. Condon</t>
  </si>
  <si>
    <t>V Rodriguez</t>
  </si>
  <si>
    <t>L Condon</t>
  </si>
  <si>
    <t>A Millard</t>
  </si>
  <si>
    <t xml:space="preserve">Hui Yip Wing &amp; Hui Chen Shu Ling </t>
  </si>
  <si>
    <t>Sin Cuento</t>
  </si>
  <si>
    <t>L Borba</t>
  </si>
  <si>
    <t>Los Vikingos</t>
  </si>
  <si>
    <t>E Maquiola</t>
  </si>
  <si>
    <t>P Bauer</t>
  </si>
  <si>
    <t>F Torres</t>
  </si>
  <si>
    <t>T</t>
  </si>
  <si>
    <t>AllOptCl40000 4YO&amp;up</t>
  </si>
  <si>
    <t>Rigney Racing LLC (Richard Rigney)</t>
  </si>
  <si>
    <t>Non-registered as of January 2016</t>
  </si>
  <si>
    <t>gelding (PA)</t>
  </si>
  <si>
    <t>Millionzofbillionz died of Potomac Fever in July 2015. // Breeders bought the mare, Stellar Mission, in foal to Smarty Jones.</t>
  </si>
  <si>
    <t>Harold Babineaux and Carl Schexnayder</t>
  </si>
  <si>
    <t>K Bourgeios</t>
  </si>
  <si>
    <t>E Nieves</t>
  </si>
  <si>
    <t>Allowance 4YO&amp;up</t>
  </si>
  <si>
    <t>scratch</t>
  </si>
  <si>
    <r>
      <rPr>
        <sz val="9"/>
        <rFont val="Wingdings"/>
        <charset val="2"/>
      </rPr>
      <t>t</t>
    </r>
    <r>
      <rPr>
        <sz val="9"/>
        <rFont val="Arial"/>
        <family val="2"/>
      </rPr>
      <t xml:space="preserve"> </t>
    </r>
    <r>
      <rPr>
        <strike/>
        <sz val="9"/>
        <rFont val="Arial"/>
        <family val="2"/>
      </rPr>
      <t>Gran John-URU</t>
    </r>
  </si>
  <si>
    <t>R-HNM, Jan-16</t>
  </si>
  <si>
    <t>Sky Captain</t>
  </si>
  <si>
    <t>Pmm-T</t>
  </si>
  <si>
    <t>1/23</t>
  </si>
  <si>
    <t>1/6</t>
  </si>
  <si>
    <t>8/35</t>
  </si>
  <si>
    <t>6/19</t>
  </si>
  <si>
    <t>15/22</t>
  </si>
  <si>
    <t>18/28</t>
  </si>
  <si>
    <t>T Proctor</t>
  </si>
  <si>
    <t>Sunshine Millions Turf Stakes [S] 4YO&amp;up</t>
  </si>
  <si>
    <t>Smarty's Girl</t>
  </si>
  <si>
    <t>Unreported to Jockey Club</t>
  </si>
  <si>
    <t>2nd favorite</t>
  </si>
  <si>
    <t>Anthony J. Merlino</t>
  </si>
  <si>
    <t>P Aristone</t>
  </si>
  <si>
    <t>J Nguyen</t>
  </si>
  <si>
    <t>Charlie Livers</t>
  </si>
  <si>
    <t>C Livers</t>
  </si>
  <si>
    <t>C Orm</t>
  </si>
  <si>
    <t>Cl5000 4YO&amp;up</t>
  </si>
  <si>
    <t>Cl7500 4YO&amp;up</t>
  </si>
  <si>
    <t>A Crowley</t>
  </si>
  <si>
    <t>Jumaaffa Racing (Kimberly Crowley)</t>
  </si>
  <si>
    <t>2.03.99</t>
  </si>
  <si>
    <t>A Alazhari</t>
  </si>
  <si>
    <t>Cl25000 [S] 4YO&amp;up</t>
  </si>
  <si>
    <t>1st Reserve, scratched</t>
  </si>
  <si>
    <t>yld</t>
  </si>
  <si>
    <t>scratch, yielding turf course</t>
  </si>
  <si>
    <t>Royal Choice</t>
  </si>
  <si>
    <t>Racing outside of South America</t>
  </si>
  <si>
    <t xml:space="preserve">Originally named "Halley." Named "Royal Choice" when he showed up in Singapore. // Mare serviced August 21, 2011. </t>
  </si>
  <si>
    <t>Kranji Racecourse (SNG)</t>
  </si>
  <si>
    <r>
      <rPr>
        <sz val="9"/>
        <rFont val="Wingdings"/>
        <charset val="2"/>
      </rPr>
      <t>t</t>
    </r>
    <r>
      <rPr>
        <sz val="9"/>
        <rFont val="Arial"/>
        <family val="2"/>
      </rPr>
      <t xml:space="preserve"> Hannah Montana-URU</t>
    </r>
  </si>
  <si>
    <r>
      <rPr>
        <sz val="9"/>
        <rFont val="Wingdings"/>
        <charset val="2"/>
      </rPr>
      <t>t</t>
    </r>
    <r>
      <rPr>
        <sz val="9"/>
        <rFont val="Arial"/>
        <family val="2"/>
      </rPr>
      <t xml:space="preserve"> Royal Choice-URU</t>
    </r>
  </si>
  <si>
    <t>Maidens 3YO</t>
  </si>
  <si>
    <t>J O'Hara</t>
  </si>
  <si>
    <t>T See</t>
  </si>
  <si>
    <t>Arela Racing Stable</t>
  </si>
  <si>
    <t>SINGAPORE</t>
  </si>
  <si>
    <t>Fractions of 30.0 and 25.4</t>
  </si>
  <si>
    <t>2016 F-T Kentucky Winter Mixed Sale - Tuesday, February 9</t>
  </si>
  <si>
    <t>Main Line Racing Stables</t>
  </si>
  <si>
    <t>R Rosado</t>
  </si>
  <si>
    <t>MdSpWt 4YO&amp;up</t>
  </si>
  <si>
    <t>J Rose</t>
  </si>
  <si>
    <t>StOptCl25000 3YO</t>
  </si>
  <si>
    <t>65/119</t>
  </si>
  <si>
    <t>61/74</t>
  </si>
  <si>
    <t>Fair Hill</t>
  </si>
  <si>
    <t>8/14</t>
  </si>
  <si>
    <t>Golden Black</t>
  </si>
  <si>
    <t>Appellee</t>
  </si>
  <si>
    <t>J Hernandez</t>
  </si>
  <si>
    <t>Nominated, but not entered</t>
  </si>
  <si>
    <t>Also-eligible</t>
  </si>
  <si>
    <t>Northview reported this as "slipped."</t>
  </si>
  <si>
    <t>In Summation</t>
  </si>
  <si>
    <t>Williamstown</t>
  </si>
  <si>
    <t>Seeking Daylight</t>
  </si>
  <si>
    <t>Unbridled Jet</t>
  </si>
  <si>
    <t>With Distinction</t>
  </si>
  <si>
    <t>Diamond</t>
  </si>
  <si>
    <t>Tapit</t>
  </si>
  <si>
    <t>Tiznow</t>
  </si>
  <si>
    <t>Swain-IRE</t>
  </si>
  <si>
    <t>Polish Miner</t>
  </si>
  <si>
    <t>Dance With Ravens-CAN</t>
  </si>
  <si>
    <t>Dixieland Heat</t>
  </si>
  <si>
    <t>Bowman's Band</t>
  </si>
  <si>
    <t>Golden Missile</t>
  </si>
  <si>
    <t>Gotta Gogo Girl</t>
  </si>
  <si>
    <t>Congrats</t>
  </si>
  <si>
    <t>Northview's listing of the broodmare's name must be mispelled or incorrect; cannot find this one in the Jockey Club database</t>
  </si>
  <si>
    <t xml:space="preserve">Rock Slide </t>
  </si>
  <si>
    <t>Orientate</t>
  </si>
  <si>
    <t>Afternoon Deelites</t>
  </si>
  <si>
    <t>Honor Grades</t>
  </si>
  <si>
    <r>
      <rPr>
        <sz val="9"/>
        <rFont val="Wingdings"/>
        <charset val="2"/>
      </rPr>
      <t>t</t>
    </r>
    <r>
      <rPr>
        <sz val="9"/>
        <rFont val="Arial"/>
        <family val="2"/>
      </rPr>
      <t xml:space="preserve"> Honoris Causa-URU</t>
    </r>
  </si>
  <si>
    <t>Ilusion</t>
  </si>
  <si>
    <t>P Hernandez</t>
  </si>
  <si>
    <t>2016 share for non-winners in Uruguay: $99 at HNM, $65 at HLP, $30 at SINT</t>
  </si>
  <si>
    <r>
      <rPr>
        <sz val="9"/>
        <rFont val="Wingdings"/>
        <charset val="2"/>
      </rPr>
      <t>t</t>
    </r>
    <r>
      <rPr>
        <sz val="9"/>
        <rFont val="Arial"/>
        <family val="2"/>
      </rPr>
      <t xml:space="preserve"> Blue Dream-URU</t>
    </r>
  </si>
  <si>
    <t>Dale Payaso</t>
  </si>
  <si>
    <t>H Pereira</t>
  </si>
  <si>
    <t>Maidens 2YO</t>
  </si>
  <si>
    <r>
      <rPr>
        <sz val="9"/>
        <rFont val="Wingdings"/>
        <charset val="2"/>
      </rPr>
      <t>t</t>
    </r>
    <r>
      <rPr>
        <sz val="9"/>
        <rFont val="Arial"/>
        <family val="2"/>
      </rPr>
      <t xml:space="preserve"> Gran Manda-URU</t>
    </r>
  </si>
  <si>
    <r>
      <rPr>
        <sz val="9"/>
        <rFont val="Wingdings"/>
        <charset val="2"/>
      </rPr>
      <t>t</t>
    </r>
    <r>
      <rPr>
        <sz val="9"/>
        <rFont val="Arial"/>
        <family val="2"/>
      </rPr>
      <t xml:space="preserve"> Homero Simpson-URU</t>
    </r>
  </si>
  <si>
    <t>Salta</t>
  </si>
  <si>
    <t>S Dorneles</t>
  </si>
  <si>
    <t>S Silveira</t>
  </si>
  <si>
    <r>
      <rPr>
        <sz val="9"/>
        <rFont val="Wingdings"/>
        <charset val="2"/>
      </rPr>
      <t>t</t>
    </r>
    <r>
      <rPr>
        <sz val="9"/>
        <rFont val="Arial"/>
        <family val="2"/>
      </rPr>
      <t xml:space="preserve"> Hooligans-URU</t>
    </r>
  </si>
  <si>
    <t>El Nachito</t>
  </si>
  <si>
    <t>Hipódromo Real de San Carlos - Colonia (URU)</t>
  </si>
  <si>
    <t>R Montes de Oca</t>
  </si>
  <si>
    <r>
      <rPr>
        <sz val="9"/>
        <rFont val="Wingdings"/>
        <charset val="2"/>
      </rPr>
      <t>t</t>
    </r>
    <r>
      <rPr>
        <sz val="9"/>
        <rFont val="Arial"/>
        <family val="2"/>
      </rPr>
      <t xml:space="preserve"> Hiroaki-URU</t>
    </r>
  </si>
  <si>
    <t>43/46</t>
  </si>
  <si>
    <t>Litlmissartypants</t>
  </si>
  <si>
    <t>Matias</t>
  </si>
  <si>
    <t>R Brown</t>
  </si>
  <si>
    <t>J Montano</t>
  </si>
  <si>
    <t>J de Arrascaeta</t>
  </si>
  <si>
    <t>L Vitales</t>
  </si>
  <si>
    <t>G Duarte</t>
  </si>
  <si>
    <t>C Blanco</t>
  </si>
  <si>
    <t>E Rodriguez</t>
  </si>
  <si>
    <t>Moved tack to Florida from Parx, had been off since November</t>
  </si>
  <si>
    <t>19/37</t>
  </si>
  <si>
    <t>MdSpWt [S] 4YO&amp;up</t>
  </si>
  <si>
    <t>Angelina Maria's Racing Stable</t>
  </si>
  <si>
    <t>E Tapsas</t>
  </si>
  <si>
    <t>D Castillo</t>
  </si>
  <si>
    <t>J Lawrence, II</t>
  </si>
  <si>
    <t>J Vargas, Jr.</t>
  </si>
  <si>
    <t>R Allen, Jr.</t>
  </si>
  <si>
    <t>Moochie Too (in foal to Smarty Jones) was bought by DR Goodnight LLC for $3,000 at the 2016 Keeneland January Sale.</t>
  </si>
  <si>
    <t xml:space="preserve">Offered at the 2016 Keeneland January Sale, in foal to Jersey Town, but RNA'ed at $6,000. // Bred to Thunder Gulch in 2013. // Bought by Steve Belford for $10,000 at the 2009 Keeneland September Yearlings Sale. </t>
  </si>
  <si>
    <t>6/12</t>
  </si>
  <si>
    <t>13/30</t>
  </si>
  <si>
    <t>2/37</t>
  </si>
  <si>
    <t>Sasstalk</t>
  </si>
  <si>
    <t>Gold-A</t>
  </si>
  <si>
    <t>Fractions of 30.4 and 24.5</t>
  </si>
  <si>
    <t>Richard P. Hessee III</t>
  </si>
  <si>
    <t>R Allen</t>
  </si>
  <si>
    <t>G Franco</t>
  </si>
  <si>
    <t>MdCl10000 4YO&amp;up</t>
  </si>
  <si>
    <t>Was scratched as an also-eligible earlier in the day</t>
  </si>
  <si>
    <t>A Arroyo</t>
  </si>
  <si>
    <t>dnf</t>
  </si>
  <si>
    <t>N/A</t>
  </si>
  <si>
    <t>13/34</t>
  </si>
  <si>
    <t>Moved tack to Laurel Park from Penn National</t>
  </si>
  <si>
    <t>FP</t>
  </si>
  <si>
    <t>C Tapscott</t>
  </si>
  <si>
    <t>Y Ortiz</t>
  </si>
  <si>
    <t>MdSpWt 3YO</t>
  </si>
  <si>
    <t>H Karamanos</t>
  </si>
  <si>
    <t>A Allen III</t>
  </si>
  <si>
    <t>AllOptCl32000 4YO&amp;up</t>
  </si>
  <si>
    <t>F Geroux</t>
  </si>
  <si>
    <r>
      <rPr>
        <strike/>
        <sz val="9"/>
        <rFont val="Wingdings"/>
        <charset val="2"/>
      </rPr>
      <t>t</t>
    </r>
    <r>
      <rPr>
        <strike/>
        <sz val="9"/>
        <rFont val="Arial"/>
        <family val="2"/>
      </rPr>
      <t xml:space="preserve"> Ess Martina-URU</t>
    </r>
  </si>
  <si>
    <t>scratched</t>
  </si>
  <si>
    <r>
      <rPr>
        <strike/>
        <sz val="9"/>
        <rFont val="Wingdings"/>
        <charset val="2"/>
      </rPr>
      <t>t</t>
    </r>
    <r>
      <rPr>
        <strike/>
        <sz val="9"/>
        <rFont val="Arial"/>
        <family val="2"/>
      </rPr>
      <t xml:space="preserve"> Hegel-URU</t>
    </r>
  </si>
  <si>
    <t>scatch</t>
  </si>
  <si>
    <t>StAll25000 4YO&amp;up</t>
  </si>
  <si>
    <t>Cl10000 4YO&amp;up</t>
  </si>
  <si>
    <t>Cl16000 4Y&amp;up</t>
  </si>
  <si>
    <t>K Cartegena</t>
  </si>
  <si>
    <t>D Kassen</t>
  </si>
  <si>
    <t>T Gaffalione</t>
  </si>
  <si>
    <t>C.R.K. Racing LLC</t>
  </si>
  <si>
    <t>Paul Hornung and David Miller</t>
  </si>
  <si>
    <t>25/33</t>
  </si>
  <si>
    <t>3/68</t>
  </si>
  <si>
    <t>fractions of 29.9 and 24.8</t>
  </si>
  <si>
    <t>Viski Jones</t>
  </si>
  <si>
    <t>6/13</t>
  </si>
  <si>
    <t>Smart Moves</t>
  </si>
  <si>
    <t>F Pallas</t>
  </si>
  <si>
    <r>
      <rPr>
        <sz val="9"/>
        <rFont val="Wingdings"/>
        <charset val="2"/>
      </rPr>
      <t>t</t>
    </r>
    <r>
      <rPr>
        <sz val="9"/>
        <rFont val="Arial"/>
        <family val="2"/>
      </rPr>
      <t xml:space="preserve"> Smarty Girl-URU</t>
    </r>
  </si>
  <si>
    <t>L. Q. Q. D.</t>
  </si>
  <si>
    <t>R Marquez</t>
  </si>
  <si>
    <t>Races canceledat Aqueduct due to expected high winds</t>
  </si>
  <si>
    <t>4th AE, scratched</t>
  </si>
  <si>
    <t>Pharm Boys LLC</t>
  </si>
  <si>
    <t>D McMahon</t>
  </si>
  <si>
    <t>unraced 5YO MI-bred horse, moved south from Chicago to Florida</t>
  </si>
  <si>
    <t>28/40</t>
  </si>
  <si>
    <t>13/47</t>
  </si>
  <si>
    <t>Racing canceled</t>
  </si>
  <si>
    <t>23/25</t>
  </si>
  <si>
    <t>Jimmy L. Dillon</t>
  </si>
  <si>
    <t>J Dillon</t>
  </si>
  <si>
    <t>T Houghton</t>
  </si>
  <si>
    <t>Mahoning Valley Race Course</t>
  </si>
  <si>
    <t>Cl8000 4YO&amp;up</t>
  </si>
  <si>
    <t>Cl12500 4YO&amp;up</t>
  </si>
  <si>
    <t>14/45</t>
  </si>
  <si>
    <t>Ron G. Potts</t>
  </si>
  <si>
    <t>R Potts</t>
  </si>
  <si>
    <t>H Villa-Gomez</t>
  </si>
  <si>
    <t>Cl6250 4YO&amp;up</t>
  </si>
  <si>
    <t>pre-race analyst termed this a "stakes-quality allowance field"</t>
  </si>
  <si>
    <t>9/11</t>
  </si>
  <si>
    <t>17/30</t>
  </si>
  <si>
    <t>off since July</t>
  </si>
  <si>
    <t>W Garcia</t>
  </si>
  <si>
    <r>
      <rPr>
        <sz val="9"/>
        <rFont val="Wingdings"/>
        <charset val="2"/>
      </rPr>
      <t>t</t>
    </r>
    <r>
      <rPr>
        <sz val="9"/>
        <rFont val="Arial"/>
        <family val="2"/>
      </rPr>
      <t xml:space="preserve"> Good Dolar-URU</t>
    </r>
  </si>
  <si>
    <r>
      <rPr>
        <sz val="9"/>
        <rFont val="Wingdings"/>
        <charset val="2"/>
      </rPr>
      <t>t</t>
    </r>
    <r>
      <rPr>
        <sz val="9"/>
        <rFont val="Arial"/>
        <family val="2"/>
      </rPr>
      <t xml:space="preserve"> Sandinista-URU</t>
    </r>
  </si>
  <si>
    <r>
      <rPr>
        <sz val="9"/>
        <rFont val="Wingdings"/>
        <charset val="2"/>
      </rPr>
      <t>t</t>
    </r>
    <r>
      <rPr>
        <sz val="9"/>
        <rFont val="Arial"/>
        <family val="2"/>
      </rPr>
      <t xml:space="preserve"> Hard Again-URU</t>
    </r>
  </si>
  <si>
    <t>Hipódromo Paysandú (URU)</t>
  </si>
  <si>
    <r>
      <rPr>
        <sz val="9"/>
        <rFont val="Wingdings"/>
        <charset val="2"/>
      </rPr>
      <t>t</t>
    </r>
    <r>
      <rPr>
        <sz val="9"/>
        <rFont val="Arial"/>
        <family val="2"/>
      </rPr>
      <t xml:space="preserve"> Berry Jones-URU</t>
    </r>
  </si>
  <si>
    <t>G Giovanetti</t>
  </si>
  <si>
    <r>
      <rPr>
        <sz val="9"/>
        <rFont val="Wingdings"/>
        <charset val="2"/>
      </rPr>
      <t>t</t>
    </r>
    <r>
      <rPr>
        <sz val="9"/>
        <rFont val="Arial"/>
        <family val="2"/>
      </rPr>
      <t xml:space="preserve"> Icarly-URU</t>
    </r>
  </si>
  <si>
    <t>W Chávez</t>
  </si>
  <si>
    <t>Potros y Palmas</t>
  </si>
  <si>
    <r>
      <rPr>
        <sz val="9"/>
        <rFont val="Wingdings"/>
        <charset val="2"/>
      </rPr>
      <t>t</t>
    </r>
    <r>
      <rPr>
        <sz val="9"/>
        <rFont val="Arial"/>
        <family val="2"/>
      </rPr>
      <t xml:space="preserve"> Hard Rock-URU</t>
    </r>
  </si>
  <si>
    <r>
      <rPr>
        <sz val="9"/>
        <rFont val="Wingdings"/>
        <charset val="2"/>
      </rPr>
      <t>t</t>
    </r>
    <r>
      <rPr>
        <sz val="9"/>
        <rFont val="Arial"/>
        <family val="2"/>
      </rPr>
      <t xml:space="preserve"> Gipsy Track-URU</t>
    </r>
  </si>
  <si>
    <t>F Santesteban</t>
  </si>
  <si>
    <r>
      <rPr>
        <sz val="9"/>
        <rFont val="Wingdings"/>
        <charset val="2"/>
      </rPr>
      <t>t</t>
    </r>
    <r>
      <rPr>
        <sz val="9"/>
        <rFont val="Arial"/>
        <family val="2"/>
      </rPr>
      <t xml:space="preserve"> Hipócrita-URU</t>
    </r>
  </si>
  <si>
    <r>
      <rPr>
        <sz val="9"/>
        <rFont val="Wingdings"/>
        <charset val="2"/>
      </rPr>
      <t>t</t>
    </r>
    <r>
      <rPr>
        <sz val="9"/>
        <rFont val="Arial"/>
        <family val="2"/>
      </rPr>
      <t xml:space="preserve"> Hummer-URU</t>
    </r>
  </si>
  <si>
    <t>N Navatta</t>
  </si>
  <si>
    <t>G Silvera</t>
  </si>
  <si>
    <t>F Rivero</t>
  </si>
  <si>
    <t>W Yubar</t>
  </si>
  <si>
    <t>Diamond Black</t>
  </si>
  <si>
    <t>Aurora</t>
  </si>
  <si>
    <t>Rincón del Rey</t>
  </si>
  <si>
    <t>Haras Progreso</t>
  </si>
  <si>
    <t>Franco</t>
  </si>
  <si>
    <t>Haras Los Nogales</t>
  </si>
  <si>
    <t>Non-winners at HNM 2YO</t>
  </si>
  <si>
    <t>F Píriz</t>
  </si>
  <si>
    <t>M Molina</t>
  </si>
  <si>
    <t>J Silva</t>
  </si>
  <si>
    <t>F Olivera</t>
  </si>
  <si>
    <t>V Aramburo</t>
  </si>
  <si>
    <t>H Eugui</t>
  </si>
  <si>
    <t>N Alanazi</t>
  </si>
  <si>
    <t>Name claim for "Road Scholar" rejected (1/24/16) as being too similar to existing name.</t>
  </si>
  <si>
    <t>Smartys Slew R V F</t>
  </si>
  <si>
    <t>J Pimentel</t>
  </si>
  <si>
    <t>A Da Silva</t>
  </si>
  <si>
    <t>T McCarthy</t>
  </si>
  <si>
    <t>B Hernandez, Jr.</t>
  </si>
  <si>
    <t>Rigney Racing, LLC (Richard Rigney)</t>
  </si>
  <si>
    <t>AllOptCl20000 4YO&amp;up</t>
  </si>
  <si>
    <t>Cl25000 4YO&amp;up</t>
  </si>
  <si>
    <t>14/29</t>
  </si>
  <si>
    <t>off since November, first gate work</t>
  </si>
  <si>
    <t>8/28</t>
  </si>
  <si>
    <t>14/24</t>
  </si>
  <si>
    <t>10/11</t>
  </si>
  <si>
    <t>1/4</t>
  </si>
  <si>
    <t>Fon</t>
  </si>
  <si>
    <t>1/32</t>
  </si>
  <si>
    <t>4/12</t>
  </si>
  <si>
    <t>3/3</t>
  </si>
  <si>
    <t>1/39</t>
  </si>
  <si>
    <t xml:space="preserve">     </t>
  </si>
  <si>
    <t>100/102</t>
  </si>
  <si>
    <t>10/24</t>
  </si>
  <si>
    <t>22/63</t>
  </si>
  <si>
    <t>62/63</t>
  </si>
  <si>
    <r>
      <rPr>
        <strike/>
        <sz val="9"/>
        <rFont val="Wingdings"/>
        <charset val="2"/>
      </rPr>
      <t>t</t>
    </r>
    <r>
      <rPr>
        <strike/>
        <sz val="9"/>
        <rFont val="Arial"/>
        <family val="2"/>
      </rPr>
      <t xml:space="preserve"> Ingrata-URU</t>
    </r>
  </si>
  <si>
    <t>scrached</t>
  </si>
  <si>
    <t>A Maragh</t>
  </si>
  <si>
    <t>MdCl25000 4YO&amp;up</t>
  </si>
  <si>
    <t>Robert D. Hubbard, Kimberly Rose Hubbard, and Sharon McGlinchey</t>
  </si>
  <si>
    <t>scratched before the start when she broke through the gate, dumped her rider, and took off</t>
  </si>
  <si>
    <r>
      <rPr>
        <strike/>
        <sz val="9"/>
        <rFont val="Wingdings"/>
        <charset val="2"/>
      </rPr>
      <t>t</t>
    </r>
    <r>
      <rPr>
        <strike/>
        <sz val="9"/>
        <rFont val="Arial"/>
        <family val="2"/>
      </rPr>
      <t xml:space="preserve"> Hawaiana-URU</t>
    </r>
  </si>
  <si>
    <t>claimed by Linda Gaudet for Team Gaudet</t>
  </si>
  <si>
    <t>Finley's Fortune</t>
  </si>
  <si>
    <t>National Festival Heritage and Culture Cup Stakes [S] 4YO&amp;up</t>
  </si>
  <si>
    <t>13/21</t>
  </si>
  <si>
    <t>4/14</t>
  </si>
  <si>
    <t>NJF</t>
  </si>
  <si>
    <t>off since September, at the Nelson Jones Farm and Training Center, Ocala FL</t>
  </si>
  <si>
    <r>
      <rPr>
        <sz val="9"/>
        <rFont val="Wingdings"/>
        <charset val="2"/>
      </rPr>
      <t>t</t>
    </r>
    <r>
      <rPr>
        <sz val="9"/>
        <rFont val="Arial"/>
        <family val="2"/>
      </rPr>
      <t xml:space="preserve"> Huérfana-URU</t>
    </r>
  </si>
  <si>
    <r>
      <rPr>
        <sz val="9"/>
        <rFont val="Wingdings"/>
        <charset val="2"/>
      </rPr>
      <t>t</t>
    </r>
    <r>
      <rPr>
        <sz val="9"/>
        <rFont val="Arial"/>
        <family val="2"/>
      </rPr>
      <t xml:space="preserve"> Bridget Jones-URU</t>
    </r>
  </si>
  <si>
    <t>Alejo</t>
  </si>
  <si>
    <t>M Barboza</t>
  </si>
  <si>
    <t>Md Allowance 2YO</t>
  </si>
  <si>
    <t>Md Allowance 3YO&amp;up</t>
  </si>
  <si>
    <t>Clásico Gran Premio Jockey Club 3YO</t>
  </si>
  <si>
    <r>
      <rPr>
        <sz val="9"/>
        <rFont val="Wingdings"/>
        <charset val="2"/>
      </rPr>
      <t>t</t>
    </r>
    <r>
      <rPr>
        <sz val="9"/>
        <rFont val="Arial"/>
        <family val="2"/>
      </rPr>
      <t xml:space="preserve"> Hillary C-URU</t>
    </r>
  </si>
  <si>
    <r>
      <rPr>
        <sz val="9"/>
        <rFont val="Wingdings"/>
        <charset val="2"/>
      </rPr>
      <t>t</t>
    </r>
    <r>
      <rPr>
        <sz val="9"/>
        <rFont val="Arial"/>
        <family val="2"/>
      </rPr>
      <t xml:space="preserve"> Royal West-URU</t>
    </r>
  </si>
  <si>
    <r>
      <rPr>
        <sz val="9"/>
        <rFont val="Wingdings"/>
        <charset val="2"/>
      </rPr>
      <t>t</t>
    </r>
    <r>
      <rPr>
        <sz val="9"/>
        <rFont val="Arial"/>
        <family val="2"/>
      </rPr>
      <t xml:space="preserve"> Patriota Jones-URU</t>
    </r>
  </si>
  <si>
    <r>
      <rPr>
        <sz val="9"/>
        <rFont val="Wingdings"/>
        <charset val="2"/>
      </rPr>
      <t>t</t>
    </r>
    <r>
      <rPr>
        <sz val="9"/>
        <rFont val="Arial"/>
        <family val="2"/>
      </rPr>
      <t xml:space="preserve"> Hannelius-URU</t>
    </r>
  </si>
  <si>
    <t>La Galleta</t>
  </si>
  <si>
    <t>R Peralta</t>
  </si>
  <si>
    <t>Bosco Rios</t>
  </si>
  <si>
    <t>R Colombo</t>
  </si>
  <si>
    <t>F Cabrera</t>
  </si>
  <si>
    <t>Malba Tahan</t>
  </si>
  <si>
    <t>Trato o Treta</t>
  </si>
  <si>
    <t>P Graña</t>
  </si>
  <si>
    <t>Assumed retired based on three years of inactivity dating back to February 2013. // Bought by Gary Capuano (Agent for Harry Loso) for $32,000 at the 2010 Keeneland September Yearling Sale</t>
  </si>
  <si>
    <t>Assumed retired based on three or more years of inactivity as of JFebruary 2013. // Was pulled up short after the wire and vanned off on February 19, 2013. //  Offered at the Fasig-Tipton 2009 NY Bred Preferred Yearlings Sale, but did not sell ($12,000 high bid). // Removed from the 2008 Keeneland November Breeding Stock Sale.</t>
  </si>
  <si>
    <t>J Jorge</t>
  </si>
  <si>
    <t>L Morales</t>
  </si>
  <si>
    <t>5/10</t>
  </si>
  <si>
    <t>Graded Stakes winner returns from a 5-month rest</t>
  </si>
  <si>
    <t>Isabelle De Tomaso and Hope Jones</t>
  </si>
  <si>
    <t>C Simon</t>
  </si>
  <si>
    <t>M Rispoli</t>
  </si>
  <si>
    <t>F Arrieta</t>
  </si>
  <si>
    <t>MdCl40000 3YO</t>
  </si>
  <si>
    <t>MdCl40000 [S] 3YO</t>
  </si>
  <si>
    <t>F Boyce</t>
  </si>
  <si>
    <t>V Gudiel</t>
  </si>
  <si>
    <t>Tampa Bay Stakes G3 4YO&amp;up</t>
  </si>
  <si>
    <t>R Eramia</t>
  </si>
  <si>
    <t>AllOptCl35000 4YO&amp;up</t>
  </si>
  <si>
    <t>Vet scratch</t>
  </si>
  <si>
    <t>1/29</t>
  </si>
  <si>
    <t>Was a full second faster than the next best workout. Nominated to the G3 Tampa Bay Stakes to be run on Saturday</t>
  </si>
  <si>
    <t>24/81</t>
  </si>
  <si>
    <t>56/81</t>
  </si>
  <si>
    <t>Returns off 5-month break</t>
  </si>
  <si>
    <t>12/33</t>
  </si>
  <si>
    <r>
      <rPr>
        <strike/>
        <sz val="9"/>
        <rFont val="Wingdings"/>
        <charset val="2"/>
      </rPr>
      <t>t</t>
    </r>
    <r>
      <rPr>
        <strike/>
        <sz val="9"/>
        <rFont val="Arial"/>
        <family val="2"/>
      </rPr>
      <t xml:space="preserve"> Homero Simpson-URU</t>
    </r>
  </si>
  <si>
    <t>13/31</t>
  </si>
  <si>
    <t>Nominated for Saturday's Challenger Prep Stakes at Tampa Bay Downs</t>
  </si>
  <si>
    <t>SKy Captain</t>
  </si>
  <si>
    <t>10/82</t>
  </si>
  <si>
    <t>Nominated for Saturday's G3 Tampa Bay Stakes at Tampa Bay Downs</t>
  </si>
  <si>
    <t>Off since July 2014, unraced</t>
  </si>
  <si>
    <t>Wrd</t>
  </si>
  <si>
    <t>5/15</t>
  </si>
  <si>
    <t>52/72</t>
  </si>
  <si>
    <t>2/74</t>
  </si>
  <si>
    <t>3rd favorite</t>
  </si>
  <si>
    <t>Race considered a non-event because of incidents throughout the running of this race; Klisz was pulled up on the turn after clipping heels earlier in the race</t>
  </si>
  <si>
    <t>2/14</t>
  </si>
  <si>
    <t>6/17</t>
  </si>
  <si>
    <t>28/30</t>
  </si>
  <si>
    <t>9/12</t>
  </si>
  <si>
    <r>
      <rPr>
        <sz val="9"/>
        <rFont val="Wingdings"/>
        <charset val="2"/>
      </rPr>
      <t>t</t>
    </r>
    <r>
      <rPr>
        <sz val="9"/>
        <rFont val="Arial"/>
        <family val="2"/>
      </rPr>
      <t xml:space="preserve"> Gran John-URU</t>
    </r>
  </si>
  <si>
    <r>
      <rPr>
        <sz val="9"/>
        <rFont val="Wingdings"/>
        <charset val="2"/>
      </rPr>
      <t>t</t>
    </r>
    <r>
      <rPr>
        <sz val="9"/>
        <rFont val="Arial"/>
        <family val="2"/>
      </rPr>
      <t xml:space="preserve"> Hada Luna-URU</t>
    </r>
  </si>
  <si>
    <t>Malvinenses</t>
  </si>
  <si>
    <t>J Prestes</t>
  </si>
  <si>
    <r>
      <rPr>
        <sz val="9"/>
        <rFont val="Wingdings"/>
        <charset val="2"/>
      </rPr>
      <t>t</t>
    </r>
    <r>
      <rPr>
        <sz val="9"/>
        <rFont val="Arial"/>
        <family val="2"/>
      </rPr>
      <t xml:space="preserve"> Suprema-URU</t>
    </r>
  </si>
  <si>
    <t>Agustin y Belen</t>
  </si>
  <si>
    <t>W Diaz</t>
  </si>
  <si>
    <t>M De Souza</t>
  </si>
  <si>
    <t>Hipódromo de Melo (URU)</t>
  </si>
  <si>
    <t>Queen Mother Stakes [R] 4YO&amp;up</t>
  </si>
  <si>
    <t>Withdrawn from the 2016 F-T Kentucky Winter Mixed Sale, in foal to Temple City. // Offered but did not sell (RNA $19,000) at the 2015 OBS Fall Mixed Sale. // Had colt by High Cotton in 2015.  // Withdrawn from the 2014 OBS Fall Mixed Sale, believed to be in foal to High Cotton. // Bought by Breeze 'em in the Dark for $8,000 at the 2013 OBS Fall Mixed Sale, in foal to Benny the Bull. // Bred to Ready's Image in 2012. Bred to Benny the Bull in 2013. // Bought by Crowes Nest Farm for $5,000 at the 2009 OBS Fall Mixed Sale.  //  Lonely Girl (in foal to Smarty Jones) was offered at the 2006 Keeneland January Horses of All Ages Sale; reserve not attained. // Bred and owned by Glen Hill Farm.</t>
  </si>
  <si>
    <t>Hui Yip Wing &amp; Hui Chen Shu Ling</t>
  </si>
  <si>
    <t>Class-3 Handicap 4YO&amp;up</t>
  </si>
  <si>
    <t>Custodian of the Two Holy Mosques Cup Stakes [S] 4YO&amp;up</t>
  </si>
  <si>
    <t>J Barria</t>
  </si>
  <si>
    <t>Hipódromo Presidente Remon (PAN)</t>
  </si>
  <si>
    <t>Cl4500 4YO&amp;up</t>
  </si>
  <si>
    <t>Noel Ramon Parrilla Cruces</t>
  </si>
  <si>
    <t>Ranchero Jones</t>
  </si>
  <si>
    <t>Bought by Omer Aydin for $5,500 at the 2016 F-T Kentucky Winter Mixed Sale, in foal to Discrete Cat. // Offered but not sold (RNA at $25,000) at the 2015 Keeneland January Sale, in foal to Tale of the Cat. // Bred to Tale of the Cat in 2014. // Bred to Maverick for 2012--he's a son of Dixieland Band, and 1/2 to Silver Charm, standing in Texas. // Removed from the Fasig-Tipton 2011 Kentucky Winter Mixed Sale; was listed as racing or broodmare prospect. // Bought by Jim Spry/Heartlines Ranch for $21,000 at the 2009 Keeneland September Yearlings Sale. // This is the first foal for Cape Hope.</t>
  </si>
  <si>
    <t>F Alotaibi</t>
  </si>
  <si>
    <t>1/55</t>
  </si>
  <si>
    <t>Challenger Prep Handicap 4YO&amp;up</t>
  </si>
  <si>
    <t>2nd favorite, claimed by trainer Oscar Gonzalez for new owner Los Grandes, Inc.</t>
  </si>
  <si>
    <t>S de Sousa</t>
  </si>
  <si>
    <t>Kyoto Racecourse (JPN)</t>
  </si>
  <si>
    <t>Subaru Stakes4YO&amp;up</t>
  </si>
  <si>
    <t>T Matsushita</t>
  </si>
  <si>
    <t>F Komaki</t>
  </si>
  <si>
    <t>William Stiritz</t>
  </si>
  <si>
    <t>S Becker</t>
  </si>
  <si>
    <t>C Landeros</t>
  </si>
  <si>
    <t>Cl17500 4YO&amp;up</t>
  </si>
  <si>
    <t>P McBurney</t>
  </si>
  <si>
    <t>AllOptCl25000 4YO&amp;up</t>
  </si>
  <si>
    <t>3/7</t>
  </si>
  <si>
    <t>3/8</t>
  </si>
  <si>
    <t>Taparri</t>
  </si>
  <si>
    <t>GG</t>
  </si>
  <si>
    <t>3/20</t>
  </si>
  <si>
    <t>13/19</t>
  </si>
  <si>
    <t>2nd favorite; frigid cold, snowing</t>
  </si>
  <si>
    <t>frigid cold, snowing</t>
  </si>
  <si>
    <t>2nd favorite; races cancelled due to frigid temperatures and high winds</t>
  </si>
  <si>
    <t>races cancelled due to frigid temperatures and high winds</t>
  </si>
  <si>
    <t>MTO, scratched, 2nd favorite/cross-entered for Monday</t>
  </si>
  <si>
    <t>races cancelled due to rain and flooding</t>
  </si>
  <si>
    <t>Miracle Wood Stakes 3YO</t>
  </si>
  <si>
    <t>Nominated but not entered</t>
  </si>
  <si>
    <t>-hd</t>
  </si>
  <si>
    <t>Nominated; Sky Captain finished 4th in the same race</t>
  </si>
  <si>
    <t>J Castellano</t>
  </si>
  <si>
    <t>Nominated; restricted to F/M that have run for a claiming price of $35,000 or less, ML odds favorite</t>
  </si>
  <si>
    <t>S Saez</t>
  </si>
  <si>
    <t>MdCl12500 [S] 4YO&amp;up</t>
  </si>
  <si>
    <t>J McKee</t>
  </si>
  <si>
    <t>A Gryder</t>
  </si>
  <si>
    <t>Dixie Poker Stakes [S] 4YO&amp;up</t>
  </si>
  <si>
    <t>14/44</t>
  </si>
  <si>
    <t>Smart Moon</t>
  </si>
  <si>
    <t>12/28</t>
  </si>
  <si>
    <t>Off since October</t>
  </si>
  <si>
    <t>Had a Flat Out filly in 2016. // Debut winner on May 12, 2012.</t>
  </si>
  <si>
    <t>Lad</t>
  </si>
  <si>
    <t>6/26</t>
  </si>
  <si>
    <t>J Acosta</t>
  </si>
  <si>
    <t>Retired - 2016</t>
  </si>
  <si>
    <t xml:space="preserve">Jen Roytz, formerly of Three Chimneys Farm, has purchased I'll Show Them from trainer Charlie Livers and has officially retired him to a rehab facility in Lexington KY. According to sources, he is in "great shape." // According to a Canter ad: I'll Show Them has been retired due to a evulsion fracture on back of the cannon bone (X Rays are available for review). The injury has set and he is sound on it and ready to embark on a new career!. // Listed as a gelding as of April 2009. // Bought by Glen Hill Farm for $600,000 at 2007 Keeneland September Yearling Sale, consigned by Three Chimneys Sales. </t>
  </si>
  <si>
    <t>Assumed retired based on two years or more of inactivity dating back to May 2014. // Offered at 2007 Keeneland September Yearling Sale, consigned by Lane's End. Reserve not attained.</t>
  </si>
  <si>
    <t>Assumed retired based on two years or more of inactivity dating back to July 2014. // Withdrawn from the Keeneland April 2008 Sale of 2YO in Training, consigned by Murray Smith Training Stable. // Withdrawn from the 2007 Saratoga Selected Yearlings Sale. // "This is the best foal, at this age, the mare has had, and the mare has had some awfully nice foals, including G2 stakes winner KEATS and two yearlings that sold for $2.7 million." (Dr. Chuck Kidder)</t>
  </si>
  <si>
    <t>Assumed retired based on two years or more of inactivity dating back to September 2014. // Surprise! He un-retired when entered in a race in January 2013--but was subsequently scratched. He later returned to the races in August 2014. // Retired by owner/trainer Keiron Magee and his wife Kelly in December 2012. // Returned to training in June 2011 after more than one year off. // As of 2009, owned by Charles J. Cella. // Removed from the Fasig-Tipton 2008 Midlantic 2YO in Training Sale, consigned by Randy Miles, Agent. // Offered at 2007 Fasig-Tipton Kentucky Fall Yearlings Sale, consigned by Dromoland Farm. Reserve not attained. // Offered at 2007 Keeneland September Yearling Sale, consigned by Dromoland Farm. Reserve not attained. // Bought by Bloodstock Management III for $170,000 at the Keeneland 2006 November Breeding Stock Sale, consigned by Bluewater Sales LLC, Agent. // "I am tickled with him. He's put together in a very nice way; very strong; good bone, nice shoulder and hip, a good correct colt." (Mike Owens)</t>
  </si>
  <si>
    <t xml:space="preserve">Assumed retired based on three years or more of inactivity dating back to March 2013. // Debut winner on August 1, 2009 at Monmouth Park. // Removed from Fasig-Tipton's 2008 Calder Select 2YO in Training Sale, consigned by Eddie Woods, Agent. // Bought by Valhalla Estates, LLC for $130,000 at 2007 Keeneland September Yearling Sale, consigned by Eaton Sales. // Offered at the Keeneland 2006 November Breeding Stock Sale, consigned by Eaton Sales. Removed from sale. // "This is a really, really good looking foal. He's very strong and we're really pleased with our three Smarty Jones foals." (Fayette Farm Manager John Hayes) // Big And Beautiful (in foal to Smarty Jones) was bought for $400,000 by Gaines-Gentry, Agent at the 2005 Keeneland November Breeding Stock Sale. </t>
  </si>
  <si>
    <t>Was pulled up after clipping heels in a race on February 7, 2016 then returned to race 12 days later. // Sold to Melinda Saccone/Brian Marczak for $12,000 at the 2009 Keeneland November Breeding Stock Sale.</t>
  </si>
  <si>
    <t>Kalamaras</t>
  </si>
  <si>
    <t>African Style-ARG</t>
  </si>
  <si>
    <t>Mutakddim</t>
  </si>
  <si>
    <t>Los Grandes, Inc.</t>
  </si>
  <si>
    <t>O Gonzalez</t>
  </si>
  <si>
    <t>L Saez</t>
  </si>
  <si>
    <t>Danny Caldwell</t>
  </si>
  <si>
    <t>F Villafranco</t>
  </si>
  <si>
    <t>filly, gr./r. (URU)</t>
  </si>
  <si>
    <t>2/5</t>
  </si>
  <si>
    <t>19/28</t>
  </si>
  <si>
    <t>second gate work</t>
  </si>
  <si>
    <t>off since September</t>
  </si>
  <si>
    <t>5/57</t>
  </si>
  <si>
    <t>R Vazquez</t>
  </si>
  <si>
    <t>StAll7500 4YO&amp;up</t>
  </si>
  <si>
    <t>43/103</t>
  </si>
  <si>
    <t>11/14</t>
  </si>
  <si>
    <t>31/51</t>
  </si>
  <si>
    <t>4/22</t>
  </si>
  <si>
    <t>Nice sub-48 f4 breeze</t>
  </si>
  <si>
    <t>12/27</t>
  </si>
  <si>
    <t>21/22</t>
  </si>
  <si>
    <t>1/35</t>
  </si>
  <si>
    <t>Turf, others working on the turf this day: Mulitple Graded Stakes Winner Catch a Glimpse (1st in the 2015 Breeders Cup Juvenile Turf, Eclipse Award finalist - 2YO Female), Graded Stakes Placed Sapphire Kitten (4th in the 2015 Breeders Cup Juvenile Turf), Mulitple Graded Stakes Winner Up With the Birds-ON (2013 Sovereign Award Horse of the Year)</t>
  </si>
  <si>
    <t>ML odds favorite, Double-check final purse winnings (had $2,050 for 2016 coming into this race)</t>
  </si>
  <si>
    <t>19/26</t>
  </si>
  <si>
    <t>'6/38</t>
  </si>
  <si>
    <t>20/45</t>
  </si>
  <si>
    <t>pulled up in mid-stretch and then eased across the wire. She was vanned off.</t>
  </si>
  <si>
    <t>H Dominguez</t>
  </si>
  <si>
    <t>J. Kirk Robison and Judy Robison</t>
  </si>
  <si>
    <t>Curribot Handicap 4YO&amp;up</t>
  </si>
  <si>
    <t>7/30</t>
  </si>
  <si>
    <t>Prince Abdulaziz Bin Mosaid Bin Jalawi Al Saud Stakes [S] 4YO&amp;up</t>
  </si>
  <si>
    <t>Main Line Racing Stable and Alexandria Stable</t>
  </si>
  <si>
    <t>Parx Racing</t>
  </si>
  <si>
    <t>Fractions: 31.5 and 26.3</t>
  </si>
  <si>
    <t>Professor Jones</t>
  </si>
  <si>
    <r>
      <rPr>
        <sz val="9"/>
        <rFont val="Wingdings"/>
        <charset val="2"/>
      </rPr>
      <t>t</t>
    </r>
    <r>
      <rPr>
        <sz val="9"/>
        <rFont val="Arial"/>
        <family val="2"/>
      </rPr>
      <t xml:space="preserve"> Baby Jones-URU</t>
    </r>
  </si>
  <si>
    <r>
      <rPr>
        <sz val="9"/>
        <rFont val="Wingdings"/>
        <charset val="2"/>
      </rPr>
      <t>t</t>
    </r>
    <r>
      <rPr>
        <sz val="9"/>
        <rFont val="Arial"/>
        <family val="2"/>
      </rPr>
      <t xml:space="preserve"> My Birthday-URU</t>
    </r>
  </si>
  <si>
    <t>A Perdomo</t>
  </si>
  <si>
    <t>J Ortiz</t>
  </si>
  <si>
    <t>J Mendez</t>
  </si>
  <si>
    <t>F Alazhari</t>
  </si>
  <si>
    <t>MdCl35000 3YO</t>
  </si>
  <si>
    <t>1&gt;04.45</t>
  </si>
  <si>
    <t>26/27</t>
  </si>
  <si>
    <t>three-way photo for 3rd</t>
  </si>
  <si>
    <t>J Bisono</t>
  </si>
  <si>
    <t>15/26</t>
  </si>
  <si>
    <t>44/48</t>
  </si>
  <si>
    <t>Busan Racecourse (KOR)</t>
  </si>
  <si>
    <t>Class-6 Allowance 3YO&amp;up</t>
  </si>
  <si>
    <t>P Wolsley</t>
  </si>
  <si>
    <t>H Lee</t>
  </si>
  <si>
    <t>Debut winner on February 19, 2016. // Pearl of Valor is now a broodmare in Korea. // Broodmare was RNA ($53,000) at the 2012 Keeneland November Sale, believed to be pregnant. No report of foal. // Pearl of Valor is out of the dam, Madeira M'dear (the dam of Smarty Moonhak). // Serviced March 17, 2012.</t>
  </si>
  <si>
    <t>Smart Valor-KOR</t>
  </si>
  <si>
    <t>debut</t>
  </si>
  <si>
    <t>Smaert Moon</t>
  </si>
  <si>
    <t>12/25</t>
  </si>
  <si>
    <t>** need to double-check his wins. Foaled in Saudi Arabia.</t>
  </si>
  <si>
    <t>4/16</t>
  </si>
  <si>
    <t>Debut winner</t>
  </si>
  <si>
    <t>Debut winner on February 27, 2016</t>
  </si>
  <si>
    <t>Debut winner on February 27, 2016. // In training with John Servis, as of August 2015. // Withdrawn from the 2014 Keeneland September Yearling Sale.</t>
  </si>
  <si>
    <t>1/41</t>
  </si>
  <si>
    <t>:46.7</t>
  </si>
  <si>
    <t>no</t>
  </si>
  <si>
    <r>
      <rPr>
        <strike/>
        <sz val="9"/>
        <rFont val="Wingdings"/>
        <charset val="2"/>
      </rPr>
      <t>t</t>
    </r>
    <r>
      <rPr>
        <strike/>
        <sz val="9"/>
        <rFont val="Arial"/>
        <family val="2"/>
      </rPr>
      <t xml:space="preserve"> Suprema-URU</t>
    </r>
  </si>
  <si>
    <r>
      <rPr>
        <strike/>
        <sz val="9"/>
        <rFont val="Wingdings"/>
        <charset val="2"/>
      </rPr>
      <t>t</t>
    </r>
    <r>
      <rPr>
        <strike/>
        <sz val="9"/>
        <rFont val="Arial"/>
        <family val="2"/>
      </rPr>
      <t xml:space="preserve"> Gran Manda-URU</t>
    </r>
  </si>
  <si>
    <r>
      <rPr>
        <sz val="9"/>
        <rFont val="Wingdings"/>
        <charset val="2"/>
      </rPr>
      <t>t</t>
    </r>
    <r>
      <rPr>
        <sz val="9"/>
        <rFont val="Arial"/>
        <family val="2"/>
      </rPr>
      <t xml:space="preserve"> Harvest-URU</t>
    </r>
  </si>
  <si>
    <t>M Pereira</t>
  </si>
  <si>
    <t>T Drury</t>
  </si>
  <si>
    <t>C Lopez</t>
  </si>
  <si>
    <t>Agustin y Belén</t>
  </si>
  <si>
    <t>MdSpWt [S] 3YO&amp;up</t>
  </si>
  <si>
    <t>M Murrill</t>
  </si>
  <si>
    <t>Jockey change to Mitchell Murrill from Brian Hernandez, Jr.</t>
  </si>
  <si>
    <t>12/90</t>
  </si>
  <si>
    <t>39/90</t>
  </si>
  <si>
    <t>35/90</t>
  </si>
  <si>
    <t>Ina Nic of Time</t>
  </si>
  <si>
    <t>Nicholas</t>
  </si>
  <si>
    <t>31/70</t>
  </si>
  <si>
    <t>7/18</t>
  </si>
  <si>
    <t>Off since finishing 3rd in her debut back in December</t>
  </si>
  <si>
    <t>R-KSA, Feb-16</t>
  </si>
  <si>
    <t>gelding, ch. (URU)</t>
  </si>
  <si>
    <t>F Pollara</t>
  </si>
  <si>
    <t>J Felix, Jr.</t>
  </si>
  <si>
    <t>Off since December</t>
  </si>
  <si>
    <t>Team Gaudet</t>
  </si>
  <si>
    <t>L Gaudet</t>
  </si>
  <si>
    <t>Harrison E. Johnson Memorial Stakes 4YO&amp;up</t>
  </si>
  <si>
    <t>9/16</t>
  </si>
  <si>
    <t>PBD</t>
  </si>
  <si>
    <t>11/13</t>
  </si>
  <si>
    <t>Off since November</t>
  </si>
  <si>
    <t>Off since September</t>
  </si>
  <si>
    <t>23/24</t>
  </si>
  <si>
    <t>12/50</t>
  </si>
  <si>
    <t>Humility</t>
  </si>
  <si>
    <t>3/50</t>
  </si>
  <si>
    <t>1/9</t>
  </si>
  <si>
    <t>Sent them</t>
  </si>
  <si>
    <t>All out</t>
  </si>
  <si>
    <t>Brilliant Sunshine colt was a debut winner in January</t>
  </si>
  <si>
    <t>C Medina</t>
  </si>
  <si>
    <t>George and Lori Hall</t>
  </si>
  <si>
    <t>K Breen</t>
  </si>
  <si>
    <t>E Cancel</t>
  </si>
  <si>
    <t>D Anderson</t>
  </si>
  <si>
    <t>J Olesiak</t>
  </si>
  <si>
    <t>StAll5000 3YO&amp;up</t>
  </si>
  <si>
    <t>Donald C. Hansen</t>
  </si>
  <si>
    <t>20/21</t>
  </si>
  <si>
    <t>6/10</t>
  </si>
  <si>
    <t>favorite</t>
  </si>
  <si>
    <t>C Schofield</t>
  </si>
  <si>
    <t>OTC</t>
  </si>
  <si>
    <t>I Perez</t>
  </si>
  <si>
    <t>K Demasi</t>
  </si>
  <si>
    <t>Allowance [S] 4YO&amp;up</t>
  </si>
  <si>
    <t>Assumed retired based on three years of inactivity dating back to March 2013. // Bought by Stuart Carmichael for $30,000 at the March 2011 Pegasus Thoroughbred 2YO in Training Sale in Washington State. // Bought by Mike Puhich, Agent, for $4,000 at the 2010 Keeneland September Yearling Sale</t>
  </si>
  <si>
    <t xml:space="preserve">Assumed retired based on three or more years of inactivity dating back to March 2013. // Bought by Senaitan Al-Gheraiban for 27,000 guineas ($33,038) at the 2011 Tattersalls July Sale for Horses of Racing Age. // Bought by Mark Johnston for $10,000 at the 2009 Keeneland September Yearlings Sale. </t>
  </si>
  <si>
    <t xml:space="preserve">Assumed retired based on three or more years of inactivity dating back to March 2013. // Racing in Italy. // Bought by Federico Barberini, Agent for $4,000 at the 2009 Keeneland September Yearlings Sale. </t>
  </si>
  <si>
    <t>1/54</t>
  </si>
  <si>
    <t>5/9</t>
  </si>
  <si>
    <t>Joe M. Thompson</t>
  </si>
  <si>
    <t>Arrived 26 days early.</t>
  </si>
  <si>
    <t>R-HNM, Mar-16</t>
  </si>
  <si>
    <t>41/45</t>
  </si>
  <si>
    <t>The Bromans posted an ad looking to find a home for Backcountry Boy in February 2016. // Beautiful America is a multiple stakes winner of over $500K.</t>
  </si>
  <si>
    <t>10/46</t>
  </si>
  <si>
    <t>B Walsh</t>
  </si>
  <si>
    <t>C Lanerie</t>
  </si>
  <si>
    <t>AllOptCl625000 4YO&amp;up</t>
  </si>
  <si>
    <t>claimed by trainer Danny Pish for owner GFB Racing LLC</t>
  </si>
  <si>
    <t>First published workout, first of  the 2YO Northern Hemisphere crop to post a workout</t>
  </si>
  <si>
    <t>vet scratch a couple days ago had a fine workout</t>
  </si>
  <si>
    <t>5/33</t>
  </si>
  <si>
    <t>7/34</t>
  </si>
  <si>
    <t>TTC</t>
  </si>
  <si>
    <t>1/17</t>
  </si>
  <si>
    <t>Be Smart colt by Malibu Moon</t>
  </si>
  <si>
    <t>1/34</t>
  </si>
  <si>
    <t>13/14</t>
  </si>
  <si>
    <t>ELL</t>
  </si>
  <si>
    <t>3/6</t>
  </si>
  <si>
    <t>Third gate work</t>
  </si>
  <si>
    <t>7/20</t>
  </si>
  <si>
    <t>eight weeks since last work</t>
  </si>
  <si>
    <t>2/2</t>
  </si>
  <si>
    <t>7/16</t>
  </si>
  <si>
    <t>StOptCl7500 4YO&amp;up</t>
  </si>
  <si>
    <t>claimed by trainer Stephen DiMauro for owner Kenwood Racing</t>
  </si>
  <si>
    <t>StAll16000 4YO&amp;up</t>
  </si>
  <si>
    <t>AllOptCl45000 4YO&amp;up</t>
  </si>
  <si>
    <r>
      <rPr>
        <sz val="9"/>
        <rFont val="Wingdings"/>
        <charset val="2"/>
      </rPr>
      <t>t</t>
    </r>
    <r>
      <rPr>
        <sz val="9"/>
        <rFont val="Arial"/>
        <family val="2"/>
      </rPr>
      <t xml:space="preserve"> Ingrata-URU</t>
    </r>
  </si>
  <si>
    <r>
      <rPr>
        <sz val="9"/>
        <rFont val="Wingdings"/>
        <charset val="2"/>
      </rPr>
      <t>t</t>
    </r>
    <r>
      <rPr>
        <sz val="9"/>
        <rFont val="Arial"/>
        <family val="2"/>
      </rPr>
      <t xml:space="preserve"> Humberto Primo-URU</t>
    </r>
  </si>
  <si>
    <t>Allowance 3YO&amp;up</t>
  </si>
  <si>
    <t>L Rosas</t>
  </si>
  <si>
    <t>Y Pereira</t>
  </si>
  <si>
    <t>S Rodriguez</t>
  </si>
  <si>
    <t>H McMahon</t>
  </si>
  <si>
    <r>
      <rPr>
        <sz val="9"/>
        <rFont val="Wingdings"/>
        <charset val="2"/>
      </rPr>
      <t>t</t>
    </r>
    <r>
      <rPr>
        <sz val="9"/>
        <rFont val="Arial"/>
        <family val="2"/>
      </rPr>
      <t xml:space="preserve"> Happy Lark-URU</t>
    </r>
  </si>
  <si>
    <t>:14.07</t>
  </si>
  <si>
    <t>Scratch</t>
  </si>
  <si>
    <t>ML odds favorite, scratched</t>
  </si>
  <si>
    <t>Cl12500 3YO&amp;up</t>
  </si>
  <si>
    <t>Scratched as MTO</t>
  </si>
  <si>
    <t>J DIllon</t>
  </si>
  <si>
    <t>L Luzzi</t>
  </si>
  <si>
    <t>J Caraballo</t>
  </si>
  <si>
    <t>Scratched, lame left leg</t>
  </si>
  <si>
    <t>Lame left leg in March 2015. Resumed working four days later. // Underwent arthroscopic surgeries on BOTH knees on January 9, 2013. He came up lame in December 2012 after a workout and it was discovered he'd had a chip fracture on his left front carpus (knee). // Gelded on February 13, 2012. // Exported to Hong Kong in Fall 2011, renamed "Cartoon Fay Fay" (previously raced as SMARTCITY). // Bought by A. Oliver for 35,000 euros ($US47,856) at the Goff's 2009 Orby Yearling Sale (Ireland). //  Foal exported to Ireland. // This colt is a half-brother to Irish Two Thousand Guineas winner Bachelor Duke as well as stakes winner Translucid.  His third dam is Lisadell and his fourth dam Thong.</t>
  </si>
  <si>
    <t>2nd start</t>
  </si>
  <si>
    <t>vet scratch this week</t>
  </si>
  <si>
    <t>3/71</t>
  </si>
  <si>
    <t>62/71</t>
  </si>
  <si>
    <t>3/21</t>
  </si>
  <si>
    <t>48-second 4f breeze</t>
  </si>
  <si>
    <t>8/11</t>
  </si>
  <si>
    <t>6/41</t>
  </si>
  <si>
    <t>first work since he was a vet scratch two weeks ago</t>
  </si>
  <si>
    <t>Haras Maria Isabel</t>
  </si>
  <si>
    <t>Shannon Toland and Stacy Gee (GFB Racing, LLC)</t>
  </si>
  <si>
    <t>D Pish</t>
  </si>
  <si>
    <t>J Valdivia, Jr.</t>
  </si>
  <si>
    <t>V Gutierrez</t>
  </si>
  <si>
    <t>nk</t>
  </si>
  <si>
    <t>8/10</t>
  </si>
  <si>
    <t>3/10</t>
  </si>
  <si>
    <t>first published work, NJ-bred</t>
  </si>
  <si>
    <t>first published work, at Elloree Training center in South Carolina</t>
  </si>
  <si>
    <t>8/31</t>
  </si>
  <si>
    <t>first workout since his debut win in February</t>
  </si>
  <si>
    <t>Joshtylane Farm and Harry J. Daut</t>
  </si>
  <si>
    <t>Star Guitar Stakes [S] 4YO&amp;up</t>
  </si>
  <si>
    <t>Razorback Handicap [G3] 4YO&amp;up</t>
  </si>
  <si>
    <t>Clásico Gran Premio Nacional 3YO</t>
  </si>
  <si>
    <t>K Gomez</t>
  </si>
  <si>
    <t>eased</t>
  </si>
  <si>
    <t>R-GP, Mar-16</t>
  </si>
  <si>
    <t>Dick Goodnight</t>
  </si>
  <si>
    <t>Anthony Black</t>
  </si>
  <si>
    <t>Jae Young Kim</t>
  </si>
  <si>
    <t>H Jung</t>
  </si>
  <si>
    <t>J Moon</t>
  </si>
  <si>
    <t>Seoul Race Park (KOR)</t>
  </si>
  <si>
    <t>Kenneth E. Fishbein</t>
  </si>
  <si>
    <t>C Winebaugh</t>
  </si>
  <si>
    <t>J Lantz</t>
  </si>
  <si>
    <t>A Castillo</t>
  </si>
  <si>
    <t>Chiba Stakes 4YO&amp;up</t>
  </si>
  <si>
    <t>Nakayama Racecourse (JPN)</t>
  </si>
  <si>
    <t>M Matsuoka</t>
  </si>
  <si>
    <t>claimed by trainer Karl Broberg for new owners End Zone Athletics</t>
  </si>
  <si>
    <t>Nominated, race not carded</t>
  </si>
  <si>
    <t>J Davis</t>
  </si>
  <si>
    <t>8/47</t>
  </si>
  <si>
    <t>16/80</t>
  </si>
  <si>
    <t>28/39</t>
  </si>
  <si>
    <t>23/33</t>
  </si>
  <si>
    <t>Aki</t>
  </si>
  <si>
    <t>"worked over wood chips," Akindale is in NY</t>
  </si>
  <si>
    <t>19/65</t>
  </si>
  <si>
    <t>4/10</t>
  </si>
  <si>
    <t>2/10</t>
  </si>
  <si>
    <t>2nd, best, first gate work for a 2YO Smarty this year</t>
  </si>
  <si>
    <t>my</t>
  </si>
  <si>
    <t>OK</t>
  </si>
  <si>
    <t>9/36</t>
  </si>
  <si>
    <t>MTC</t>
  </si>
  <si>
    <t>first published work, at Middletown Training Center in Delaware</t>
  </si>
  <si>
    <t>wet</t>
  </si>
  <si>
    <t>William E. Schettine</t>
  </si>
  <si>
    <t>StOptCl12500 4YO&amp;up</t>
  </si>
  <si>
    <r>
      <rPr>
        <sz val="9"/>
        <rFont val="Wingdings"/>
        <charset val="2"/>
      </rPr>
      <t>t</t>
    </r>
    <r>
      <rPr>
        <sz val="9"/>
        <rFont val="Arial"/>
        <family val="2"/>
      </rPr>
      <t xml:space="preserve"> Heysoulsister-URU</t>
    </r>
  </si>
  <si>
    <t>Leandro Soto</t>
  </si>
  <si>
    <t>M Oviedo</t>
  </si>
  <si>
    <t>16/67</t>
  </si>
  <si>
    <t>hd</t>
  </si>
  <si>
    <t>-no</t>
  </si>
  <si>
    <t>Allowance [S] 3YO</t>
  </si>
  <si>
    <t>Patricia Chapman</t>
  </si>
  <si>
    <t>More to Tell Stakes [R] 4YO&amp;up</t>
  </si>
  <si>
    <t>Kelly Kip Stakes [R] 4YO&amp;up</t>
  </si>
  <si>
    <t>2nd favorite, won via disqualification of the winner</t>
  </si>
  <si>
    <t>Early entry but was not in the final field</t>
  </si>
  <si>
    <t>Began new career as jumper at Foxfield in September 2012. // Bought by Jim Tafel for $350,000 at the 2008 Keeneland September Yearling Sale, consigned by Nursery Place. // Byzantine is a stakes winning/G2 placed mare (who earned over $565K) and is half to another stakes winner who is G3 placed.</t>
  </si>
  <si>
    <t>F Palavecino</t>
  </si>
  <si>
    <t>R Ponte</t>
  </si>
  <si>
    <t>P Cabrera</t>
  </si>
  <si>
    <t>Race Track Wins in 2016</t>
  </si>
  <si>
    <t>Stony Brook</t>
  </si>
  <si>
    <t>24/28</t>
  </si>
  <si>
    <t>1/25</t>
  </si>
  <si>
    <t>11/15</t>
  </si>
  <si>
    <t>3/5</t>
  </si>
  <si>
    <t>Baccalarecat</t>
  </si>
  <si>
    <t>First published workout</t>
  </si>
  <si>
    <t>from last week, reported late</t>
  </si>
  <si>
    <t>1/8</t>
  </si>
  <si>
    <t>Nominated to a couple restricted stakes to be run at Aqueduct on April 2</t>
  </si>
  <si>
    <t>4/11</t>
  </si>
  <si>
    <t>Edward M. Phelkps</t>
  </si>
  <si>
    <t>E Phelps</t>
  </si>
  <si>
    <t>P Guzman</t>
  </si>
  <si>
    <t>MdCl50000 3YO</t>
  </si>
  <si>
    <t>11/69</t>
  </si>
  <si>
    <t>off since November</t>
  </si>
  <si>
    <t>3/89</t>
  </si>
  <si>
    <t>17/28</t>
  </si>
  <si>
    <t>3/17</t>
  </si>
  <si>
    <t>11/12</t>
  </si>
  <si>
    <t>First published workout for 3YO gelding</t>
  </si>
  <si>
    <t>Shamrock Farm LLC</t>
  </si>
  <si>
    <t>L Dominguez</t>
  </si>
  <si>
    <t>K Coa</t>
  </si>
  <si>
    <t>MdCl20000 4YO&amp;up</t>
  </si>
  <si>
    <t>Gal</t>
  </si>
  <si>
    <t>,9/9</t>
  </si>
  <si>
    <t>unraced 5YO mare returns from eight weeks off</t>
  </si>
  <si>
    <r>
      <rPr>
        <strike/>
        <sz val="9"/>
        <rFont val="Wingdings"/>
        <charset val="2"/>
      </rPr>
      <t>t</t>
    </r>
    <r>
      <rPr>
        <strike/>
        <sz val="9"/>
        <rFont val="Arial"/>
        <family val="2"/>
      </rPr>
      <t xml:space="preserve"> Baby Jones-URU</t>
    </r>
  </si>
  <si>
    <t>ML odds favorite, claimed out of this race by trainer Tanner Tracy for new owner Terry Judge</t>
  </si>
  <si>
    <t>29/44</t>
  </si>
  <si>
    <t>Late scratch</t>
  </si>
  <si>
    <r>
      <rPr>
        <strike/>
        <sz val="9"/>
        <rFont val="Wingdings"/>
        <charset val="2"/>
      </rPr>
      <t>t</t>
    </r>
    <r>
      <rPr>
        <strike/>
        <sz val="9"/>
        <rFont val="Arial"/>
        <family val="2"/>
      </rPr>
      <t xml:space="preserve"> Hiroaki-URU</t>
    </r>
  </si>
  <si>
    <t>Tampa Turf Classic 4YO&amp;up</t>
  </si>
  <si>
    <t>A Rivas</t>
  </si>
  <si>
    <t>Stephen's Song</t>
  </si>
  <si>
    <t>John Cass</t>
  </si>
  <si>
    <t>Poco Serio</t>
  </si>
  <si>
    <r>
      <rPr>
        <sz val="9"/>
        <rFont val="Wingdings"/>
        <charset val="2"/>
      </rPr>
      <t>t</t>
    </r>
    <r>
      <rPr>
        <sz val="9"/>
        <rFont val="Arial"/>
        <family val="2"/>
      </rPr>
      <t xml:space="preserve"> Hideandseek-URU</t>
    </r>
  </si>
  <si>
    <t>Haras Belmont</t>
  </si>
  <si>
    <t>Shamrock Farm</t>
  </si>
  <si>
    <t>Bred to Afleet Alex in 2015 and a colt but it died after six days. // Had a Runaway and Hide colt in 2015. // Bred to Trappe Shot in 2013. // Had a colt by Idygo Shiner (AP Indy) on January 19, 2013. // RNA (at $27,000) at the Keeneland November Sale. Offered as a racing or broodmare prospect. // Offered at the 2008 Keeneland September Yearling Sale, consigned by Three Chimneys Sales, Agent. Reserve not attained at $85,000. // Offered at the 2007 Keeneland November Breeding Stock Sale, consigned by Three Chimneys Sales, Agent; reserve not attained.</t>
  </si>
  <si>
    <t>Confirm foal date</t>
  </si>
  <si>
    <t>Nominated to the $75,000 Tampa Turf Classic Stakes, a race he'd won last year</t>
  </si>
  <si>
    <t>2/4</t>
  </si>
  <si>
    <t>D Sanchez</t>
  </si>
  <si>
    <t>Nominated but entered in the Kelly Kip Stakes instead</t>
  </si>
  <si>
    <t>6/11</t>
  </si>
  <si>
    <t>4/20</t>
  </si>
  <si>
    <t>Sub-48 second work, his first since winning his maiden earlier in March</t>
  </si>
  <si>
    <t>Timer malfunction, no times recorded</t>
  </si>
  <si>
    <t>gelding (NY)</t>
  </si>
  <si>
    <t>Quoit Smart</t>
  </si>
  <si>
    <t>Pagan Smart</t>
  </si>
  <si>
    <t>Fractions of 30.5 and 25.7</t>
  </si>
  <si>
    <t>14/19</t>
  </si>
  <si>
    <t>Early scratch</t>
  </si>
  <si>
    <t>AllOptCl10000 3YO&amp;up</t>
  </si>
  <si>
    <t>C Marrero</t>
  </si>
  <si>
    <t>R-HNM, Apr-16</t>
  </si>
  <si>
    <t>Ben Ali Stakes (G3) 4YO&amp;up</t>
  </si>
  <si>
    <t>C Roman</t>
  </si>
  <si>
    <t>Hawthorne Racecourse</t>
  </si>
  <si>
    <t>AllOptCl30000 3YO&amp;up</t>
  </si>
  <si>
    <r>
      <rPr>
        <strike/>
        <sz val="9"/>
        <rFont val="Wingdings"/>
        <charset val="2"/>
      </rPr>
      <t>t</t>
    </r>
    <r>
      <rPr>
        <strike/>
        <sz val="9"/>
        <rFont val="Arial"/>
        <family val="2"/>
      </rPr>
      <t xml:space="preserve"> Isabela La Catolica-URU</t>
    </r>
  </si>
  <si>
    <t>Clásico Haras del Uruguay - Potrancas 2YO</t>
  </si>
  <si>
    <t>Clásico Haras del Uruguay - Potrillos 2YO</t>
  </si>
  <si>
    <t>wf</t>
  </si>
  <si>
    <t>WO</t>
  </si>
  <si>
    <t>72/126</t>
  </si>
  <si>
    <t>42/62</t>
  </si>
  <si>
    <t>4/27</t>
  </si>
  <si>
    <t>Mnr</t>
  </si>
  <si>
    <t>21/28</t>
  </si>
  <si>
    <t>Too Critical</t>
  </si>
  <si>
    <t>Forest camp</t>
  </si>
  <si>
    <t>Mare owned by Scott Roaden. // Forest Camp is a half-brother to stakes winner Kiddari by Smarty. The dam of Too Critical is a half to multiple G1 winner Critical Eye.</t>
  </si>
  <si>
    <t>R-Mel, Apr-16</t>
  </si>
  <si>
    <t>Pin Up Page</t>
  </si>
  <si>
    <t>StAll7500 3YO&amp;up</t>
  </si>
  <si>
    <t>Pops Racing Stable</t>
  </si>
  <si>
    <t>3rd start</t>
  </si>
  <si>
    <t>Clásico America (L) 3YO</t>
  </si>
  <si>
    <t>J Vergara</t>
  </si>
  <si>
    <t>MD-bred has moved to Laurel Park from Will Rogers Downs</t>
  </si>
  <si>
    <t>6/18</t>
  </si>
  <si>
    <t>2nd straight sub 48-second 4f breeze</t>
  </si>
  <si>
    <t>Assumed retired/deceased based on three years or more of inactivity dating back to April 2013.</t>
  </si>
  <si>
    <t>Assumed retired/deceased based on three years or more of inactivity dating back to April 2013. // Bought by Susan Beadnell for $5,000 at the 2011 Fasig-Tipton New York Bred Preferred Yearlings Sale.</t>
  </si>
  <si>
    <t>S-Lrl, Apr-16</t>
  </si>
  <si>
    <t>Assumed retired on the basis of three years inactivity dating back to April 2013. // Was a debut winner on October 1, 2009. // Miss Winning Sweep has already produced a multiple stakes placed (including graded) colt by Western Expression, a son of Gone West (Smarty's grandsire) and her dam is a three-quarter sister to champion and Hall of Famer, Precisionist. // Breeder/owner: Flying Zee Stables.</t>
  </si>
  <si>
    <t>Read the Footnotes</t>
  </si>
  <si>
    <t xml:space="preserve">Named in honor of Stephen P. Stanton </t>
  </si>
  <si>
    <t>A Cintron</t>
  </si>
  <si>
    <t>AllOptCl40000 3YO&amp;up</t>
  </si>
  <si>
    <t>9/81</t>
  </si>
  <si>
    <t>W-Pen, Apr-16</t>
  </si>
  <si>
    <t>4/7</t>
  </si>
  <si>
    <t>W Otero</t>
  </si>
  <si>
    <t>T Collins</t>
  </si>
  <si>
    <t>F Peltroche</t>
  </si>
  <si>
    <t>D Fernando Gomez</t>
  </si>
  <si>
    <t>M Yates</t>
  </si>
  <si>
    <t>MdCl4500 4YO&amp;up</t>
  </si>
  <si>
    <t>E tapsas</t>
  </si>
  <si>
    <t>E Trujillo</t>
  </si>
  <si>
    <t>Evd</t>
  </si>
  <si>
    <t>8/75</t>
  </si>
  <si>
    <t>98/104</t>
  </si>
  <si>
    <t>24/31</t>
  </si>
  <si>
    <t>1/51</t>
  </si>
  <si>
    <t>11/71</t>
  </si>
  <si>
    <t>2nd favorite, finished 6th but was moved up after the 3rd-place finisher was disqualified</t>
  </si>
  <si>
    <t>hvy</t>
  </si>
  <si>
    <t>StAll50000 3YO&amp;up</t>
  </si>
  <si>
    <t>Retired intact in 2012. Was given to a woman who started working wth him but he was dangerously nasty. He was gelded but it didn't affect his behavior so he was put down in 2013. // Pat Chapman, owner of Smarty Jones, owns Ritzy Jones. // Withdrawn from the Keeneland April 2008 Sale of 2YO in Training, consigned by Eddie Woods, Agent. // Offered at 2007 Keeneland September Yearling Sale, consigned by Three Chimneys Sales. Reserve not attained. // Purchased for $350,000 by Bloodstock Management III at the Keeneland 2006 November Breeding Stock Sale, consigned by Three Chimneys Sales, Agent. // "He's outstanding." (owner Lev Miller) // Bred by Mr. &amp; Mrs. Leverett Miller and Patricia L. Chapman, this colt is a half-brother to Silver Wagon, winner of the Grade I Hopeful S. at Saratoga.</t>
  </si>
  <si>
    <t>2nd favorite. Scratched, choosing to run on April 12</t>
  </si>
  <si>
    <t>Irish Three Racing</t>
  </si>
  <si>
    <t>P Faro</t>
  </si>
  <si>
    <t>K Schneider</t>
  </si>
  <si>
    <t>Kim M. Schneider</t>
  </si>
  <si>
    <t>S Figueroa</t>
  </si>
  <si>
    <t>P Hernandez Ortega</t>
  </si>
  <si>
    <t>Robert Hilton Memorial Stakes 3YO</t>
  </si>
  <si>
    <t>Evangeline Downs</t>
  </si>
  <si>
    <t>John Henry Stakes 3YO&amp;up</t>
  </si>
  <si>
    <r>
      <rPr>
        <sz val="9"/>
        <rFont val="Wingdings"/>
        <charset val="2"/>
      </rPr>
      <t>t</t>
    </r>
    <r>
      <rPr>
        <sz val="9"/>
        <rFont val="Arial"/>
        <family val="2"/>
      </rPr>
      <t xml:space="preserve"> Hilmar-URU</t>
    </r>
  </si>
  <si>
    <t>Madero 13</t>
  </si>
  <si>
    <t>W Mattos</t>
  </si>
  <si>
    <t>Andreina</t>
  </si>
  <si>
    <t>Different owners</t>
  </si>
  <si>
    <t>Handicap Especial Alberto Denby 3YO&amp;up</t>
  </si>
  <si>
    <t>J Duarte</t>
  </si>
  <si>
    <t>Contame Todo</t>
  </si>
  <si>
    <t>bullet on a good track</t>
  </si>
  <si>
    <t>12/15</t>
  </si>
  <si>
    <t>6/24</t>
  </si>
  <si>
    <t>W-NJF, Apr-16</t>
  </si>
  <si>
    <t>Fractions of 31.7 and 26.6</t>
  </si>
  <si>
    <t>22/24</t>
  </si>
  <si>
    <t>Sassy sara</t>
  </si>
  <si>
    <t>10/22</t>
  </si>
  <si>
    <t>J Méndez</t>
  </si>
  <si>
    <t>C Vigil</t>
  </si>
  <si>
    <t>D Gaier</t>
  </si>
  <si>
    <t>J Betancourt</t>
  </si>
  <si>
    <t>StOptCl32000 3YO&amp;up</t>
  </si>
  <si>
    <t>Cl35000 3YO&amp;up</t>
  </si>
  <si>
    <t>3rd AE, early scratch</t>
  </si>
  <si>
    <t>Indiana Grand Race Course</t>
  </si>
  <si>
    <t>AllOptCl25000 3YO&amp;up</t>
  </si>
  <si>
    <t>A Broussard</t>
  </si>
  <si>
    <t>StOptCl50000 3YO</t>
  </si>
  <si>
    <t>5/26</t>
  </si>
  <si>
    <t>14/23</t>
  </si>
  <si>
    <t>Two-time winner last year has been off since November</t>
  </si>
  <si>
    <t>Inflate My Ego</t>
  </si>
  <si>
    <t>7/15</t>
  </si>
  <si>
    <t>12/13</t>
  </si>
  <si>
    <t>1/18</t>
  </si>
  <si>
    <t>Had been off since February, best effort ever and from the gate no less</t>
  </si>
  <si>
    <t>MD</t>
  </si>
  <si>
    <t>at marquis Downs, off since September</t>
  </si>
  <si>
    <t>1/22</t>
  </si>
  <si>
    <t>8/19</t>
  </si>
  <si>
    <t>38/47</t>
  </si>
  <si>
    <t>5/28</t>
  </si>
  <si>
    <t>9/28</t>
  </si>
  <si>
    <t>1/92</t>
  </si>
  <si>
    <t>moved tack to Belmont from Florida</t>
  </si>
  <si>
    <t>Cl4500 3YO&amp;up</t>
  </si>
  <si>
    <t>End Zone Athletics</t>
  </si>
  <si>
    <t>K Broberg</t>
  </si>
  <si>
    <t>Supplementary entry, scratched</t>
  </si>
  <si>
    <t>A national day of mourning was declared in Uruguay for Sunday, April 17. Racing was moved from April 17 to April 18.</t>
  </si>
  <si>
    <t>New trainer and owner. A national day of mourning was declared in Uruguay for Sunday, April 17. Racing was moved from April 17 to April 18.</t>
  </si>
  <si>
    <t>1/20</t>
  </si>
  <si>
    <t>34/41</t>
  </si>
  <si>
    <t xml:space="preserve">Smartified </t>
  </si>
  <si>
    <r>
      <rPr>
        <strike/>
        <sz val="9"/>
        <rFont val="Wingdings"/>
        <charset val="2"/>
      </rPr>
      <t>t</t>
    </r>
    <r>
      <rPr>
        <strike/>
        <sz val="9"/>
        <rFont val="Arial"/>
        <family val="2"/>
      </rPr>
      <t xml:space="preserve"> Sandinista-URU</t>
    </r>
  </si>
  <si>
    <t>A national day of mourning was declared in Uruguay for Sunday, April 17. Racing was moved from April 17 to April 18. Races suspended due to weather.</t>
  </si>
  <si>
    <t>vet scratch</t>
  </si>
  <si>
    <t>Lone Star Park</t>
  </si>
  <si>
    <t>C McMahon</t>
  </si>
  <si>
    <t>AllOptCl18000 4YO&amp;up</t>
  </si>
  <si>
    <t>AllOptCl45000 3YO&amp;up</t>
  </si>
  <si>
    <t>Allowance [S] 3YO&amp;up</t>
  </si>
  <si>
    <t>A Aparicio</t>
  </si>
  <si>
    <t>MdCl8000 3YO&amp;up</t>
  </si>
  <si>
    <t>gelding, b. (MI)</t>
  </si>
  <si>
    <t>Clásico Intendencia Municipal de Canelones 3YO&amp;up</t>
  </si>
  <si>
    <r>
      <rPr>
        <sz val="9"/>
        <rFont val="Wingdings"/>
        <charset val="2"/>
      </rPr>
      <t>t</t>
    </r>
    <r>
      <rPr>
        <sz val="9"/>
        <rFont val="Arial"/>
        <family val="2"/>
      </rPr>
      <t xml:space="preserve"> Guittar-URU</t>
    </r>
  </si>
  <si>
    <t>mare (VEN)</t>
  </si>
  <si>
    <t>Nominated, entered an AllOptCl at Laurel Park on Friday instead</t>
  </si>
  <si>
    <t>Nominated, went in the Coin Collector Stakes earlier on the same card instead</t>
  </si>
  <si>
    <t>Coin Collector Stakes [S] 3YO</t>
  </si>
  <si>
    <t>Caixa Electronica Stakes 4YO&amp;up</t>
  </si>
  <si>
    <t>O Flores</t>
  </si>
  <si>
    <t>Had an Oxbow colt in 2016. // Bought by Calumet for $130,000 at the 2015 Keeneland January Sale, as a broodmare prospect. //  Bought by D Hatman Thoroughbreds LLC for $20,000 at the 2012 Fasig-Tipton Eastern Fall Yearlings Sale.</t>
  </si>
  <si>
    <t>Had a Sky Mesa filly in 2016, named "Caressed."</t>
  </si>
  <si>
    <t xml:space="preserve">Had a Daddy Nose Best colt in 2016. // Bought by BG Stables for $2,700 at the 2015 Barretts January Mixed Sale, in foal to Chhaya Dance (by AP Indy). Rachel's yearling filly (o/o Chhaya Dance) sold for $1,200 and went to Louis A. Bradvica. // Offered at the 2014 Barretts January Mixed Sale but was withdrawn, in foal to Chhaya Dance (by AP Indy). // Bought by Brian Koriner, Agent, for $60,000 at the 2010 OBS Selected Two-Year-Olds in Training Sale.  //  Bought by W. D. North Thoroughbreds for $65,000 at the 2009 Keeneland September Yearlings Sale. </t>
  </si>
  <si>
    <t xml:space="preserve">Had a Point Given filly in 2016. // Bought by Calumet Farm for $30,000 at the 2014 Keeneland November Breeding Stock Sale. // Bred to Fort Larned in 2014. // Bought by Adena Springs for $6,000 at the 2014 OBS Winter Mixed Sale--she was offered as either a racing or broodmare prospect. // Offered at the 2009 Keeneland September Yearlings Sale, but did not sell (RNA -- $19,000). </t>
  </si>
  <si>
    <t>John N. Nash</t>
  </si>
  <si>
    <t>C Crane</t>
  </si>
  <si>
    <t>R Carpio</t>
  </si>
  <si>
    <t>MdCl50000 3YO&amp;up</t>
  </si>
  <si>
    <t>Cl25000 3YO&amp;up</t>
  </si>
  <si>
    <t>J Englehart</t>
  </si>
  <si>
    <t>A Cruz</t>
  </si>
  <si>
    <t>Kenwood Racing LLC</t>
  </si>
  <si>
    <t>8/15</t>
  </si>
  <si>
    <t>19/23</t>
  </si>
  <si>
    <t>first Northern Hemisphere 2YO to work from the gate this year</t>
  </si>
  <si>
    <t>BLF</t>
  </si>
  <si>
    <t>Bolo Farm; first published workout</t>
  </si>
  <si>
    <t>slow</t>
  </si>
  <si>
    <t>8/12</t>
  </si>
  <si>
    <t>Off since January, moved tack north from Tampa Bay Downs</t>
  </si>
  <si>
    <t>Cold Snack Thirty (Backtalk)</t>
  </si>
  <si>
    <t>TX - Lone Star</t>
  </si>
  <si>
    <t>400m work. Good news, this workout cleared Cartoon Fay Fay to race. He'd been on the vet list since March 5.</t>
  </si>
  <si>
    <t>5/8</t>
  </si>
  <si>
    <t>24/34</t>
  </si>
  <si>
    <t>18/19</t>
  </si>
  <si>
    <t>R-SNG, Apr-16</t>
  </si>
  <si>
    <t>2nd best, it was just her second work since returning to the worktab from last November</t>
  </si>
  <si>
    <t>ML odds favorite (as coupled entry)</t>
  </si>
  <si>
    <t>LAD</t>
  </si>
  <si>
    <t>34/57</t>
  </si>
  <si>
    <t>Lil Miss Smarty K</t>
  </si>
  <si>
    <t>27/30</t>
  </si>
  <si>
    <t>2/18</t>
  </si>
  <si>
    <t>2/8</t>
  </si>
  <si>
    <t>2nd best; first work from the gate</t>
  </si>
  <si>
    <t>4/9</t>
  </si>
  <si>
    <t>5/6</t>
  </si>
  <si>
    <t>R Montanez</t>
  </si>
  <si>
    <t>2nd favorite, claimed out of this race by trainer Jamie Ness for owner Jagger, Inc.</t>
  </si>
  <si>
    <t>Eladio Acevedo</t>
  </si>
  <si>
    <t>M Castaneda</t>
  </si>
  <si>
    <t>R Hisby</t>
  </si>
  <si>
    <t>MdSpWt 2YO</t>
  </si>
  <si>
    <t>First Smarty Northern Hemisphere 2YO to race this year</t>
  </si>
  <si>
    <t>AllOptCl32000 3YO&amp;up</t>
  </si>
  <si>
    <t>MdSpWt 3YO&amp;up</t>
  </si>
  <si>
    <t>Parx Derby 3YO</t>
  </si>
  <si>
    <t>3/4</t>
  </si>
  <si>
    <t>CD-t</t>
  </si>
  <si>
    <t>Off since February</t>
  </si>
  <si>
    <t>Off since June</t>
  </si>
  <si>
    <t>Assumed retired based on three years of inactivity dating back to May 2013. // Bought by Simmons Bloodstock for $9,000 at the 2010 Fasig-Tipton KY Fall Yearlings Sale. // Withdrawn from the 2009 Keeneland November Breeding Stock Sale.</t>
  </si>
  <si>
    <t>Assumed retired based on three years of inactivity dating back to June 2013. // Racing in Russia/Kazakhstan. // Sold to to Mikhail Yanakov for $15,000 at the 2009 Keeneland November Breeding Stock Sale.</t>
  </si>
  <si>
    <t>Retir\ed - 2013</t>
  </si>
  <si>
    <t>Assumed retired on the basis of three years inactivity dating back to May 2013. // In January 2013, trainer Rick Dutrow's license was suspended for 10 years and his stock was dispersed. Trainer John Sadler assumed control of Gallant Fields and he was shipped to Santa Anita Park. // Bought by Paul Braverman &amp; Richard Fields for $150,000 at the 2008 Keeneland September Yearling Sale, consigned by Lane's End, Agent. // Mystery Trip is a half-sister to A.P. Indy and Summer Squall, and a 3/4 to Honor Grades. She had 2008 Smarty Jones colt foaled on March 17.</t>
  </si>
  <si>
    <t>Assumed retired on the basis of three years inactivity dating back to June 2013. // Debut winner on August 23, 2009. // Exported to Japan.</t>
  </si>
  <si>
    <t>Assumed retired on the basis of three years inactivity dating back to June 2013. // Off between May-12 and Jun-13. // Bought by John Ferguson for $410,000 at the 2008 Keeneland September Yearling Sale, consigned by Taylor Made Sales Agency, Agent. // Half brother to Lawyer Ron. // Donation (in foal to Smarty Jones) was bought for $250,000 by Cecil Seaman, Agent at the 2006 Keeneland November Breeding Stock Sale.</t>
  </si>
  <si>
    <t>Retired to Jerry's farm in Doylestown. // According to owner (in January 2011), Jerry Kane, FJ is at the farm resting his ankles and is expected to be back on the track in training around March 2011. // Farmer Jones witched to the Ben Perkins, Jr.  barn in June 2010. // Kathy Mongeon reports, in February 2009, that the yet-to-be-named colt was broke at Ocala late last year and then was laid up for a six-week rest. He's started back to training and she expects him at Palm Meadows by late February or early March. She's adds that his ownership does plan to race him when he's ready. // Bought by Kathy Mongeon, for Jeremiah Kane, for $170,000 at the 2008 Keeneland September Yearling Sale, consigned by Mt. Brilliant Farm LLC. Mongeon is an east coast trainer racing at Meadowlands, Monmouth, Gulfstream Park. Kane is one of her predominant owners. // Lean Queen Cobra is stakes placed and the dam of G2 placed Nacheezmo. Her 3rd dam is the 2nd dam of champion Desert Vixen and top sire Valid Appeal -- both of those are by In Reality, which this colt is inbred to as he is the sire of Smarty's broodmare sire, Smile.</t>
  </si>
  <si>
    <t>C Montalvo</t>
  </si>
  <si>
    <t>Cl30000 3YO&amp;up</t>
  </si>
  <si>
    <t>Cl30000 4YO&amp;up</t>
  </si>
  <si>
    <r>
      <rPr>
        <sz val="9"/>
        <rFont val="Wingdings"/>
        <charset val="2"/>
      </rPr>
      <t>t</t>
    </r>
    <r>
      <rPr>
        <sz val="9"/>
        <rFont val="Arial"/>
        <family val="2"/>
      </rPr>
      <t xml:space="preserve"> Go Baby-URU</t>
    </r>
  </si>
  <si>
    <t>La Cueva</t>
  </si>
  <si>
    <r>
      <rPr>
        <sz val="9"/>
        <rFont val="Wingdings"/>
        <charset val="2"/>
      </rPr>
      <t>t</t>
    </r>
    <r>
      <rPr>
        <sz val="9"/>
        <rFont val="Arial"/>
        <family val="2"/>
      </rPr>
      <t xml:space="preserve"> Bint Al Reeh-URU</t>
    </r>
  </si>
  <si>
    <r>
      <rPr>
        <sz val="9"/>
        <rFont val="Wingdings"/>
        <charset val="2"/>
      </rPr>
      <t>t</t>
    </r>
    <r>
      <rPr>
        <sz val="9"/>
        <rFont val="Arial"/>
        <family val="2"/>
      </rPr>
      <t xml:space="preserve"> </t>
    </r>
    <r>
      <rPr>
        <strike/>
        <sz val="9"/>
        <rFont val="Arial"/>
        <family val="2"/>
      </rPr>
      <t>Royal West-URU</t>
    </r>
  </si>
  <si>
    <r>
      <rPr>
        <sz val="9"/>
        <rFont val="Wingdings"/>
        <charset val="2"/>
      </rPr>
      <t>t</t>
    </r>
    <r>
      <rPr>
        <sz val="9"/>
        <rFont val="Arial"/>
        <family val="2"/>
      </rPr>
      <t xml:space="preserve"> Hasmig-URU</t>
    </r>
  </si>
  <si>
    <t>C Bowersock</t>
  </si>
  <si>
    <t>Ken Shimek</t>
  </si>
  <si>
    <t>L Quinones</t>
  </si>
  <si>
    <t>Rsf</t>
  </si>
  <si>
    <t>12/14</t>
  </si>
  <si>
    <t>a couple days prior to racing when she finished…</t>
  </si>
  <si>
    <t>Valora A. Testerman</t>
  </si>
  <si>
    <t>V Testerman</t>
  </si>
  <si>
    <t>MdCl20000 3YO&amp;up</t>
  </si>
  <si>
    <t>B Pedroza</t>
  </si>
  <si>
    <t>Scott Naylor</t>
  </si>
  <si>
    <t>Jodie Pointer</t>
  </si>
  <si>
    <t>Richard Trechak (PA)</t>
  </si>
  <si>
    <t>Shirley Lojeski</t>
  </si>
  <si>
    <t>J Loveberry</t>
  </si>
  <si>
    <t>Happy Valley Racecourse</t>
  </si>
  <si>
    <t>StOptCl15000 3YO&amp;up</t>
  </si>
  <si>
    <t>Cl6250 3YO&amp;up</t>
  </si>
  <si>
    <t>A Zikhov</t>
  </si>
  <si>
    <t>A Nekrasova</t>
  </si>
  <si>
    <t>Pyatigorsk Hippodrome (RUS)</t>
  </si>
  <si>
    <t>32/40</t>
  </si>
  <si>
    <t>7/49</t>
  </si>
  <si>
    <t>a sub-48-second 4f breeze</t>
  </si>
  <si>
    <t>13/13</t>
  </si>
  <si>
    <t>unraced filly has been off since November</t>
  </si>
  <si>
    <t>WO-awt</t>
  </si>
  <si>
    <t>30/103</t>
  </si>
  <si>
    <t>45/111</t>
  </si>
  <si>
    <t>2/27</t>
  </si>
  <si>
    <t>11/33</t>
  </si>
  <si>
    <t>Scratched as AE at Laurel on Saturday</t>
  </si>
  <si>
    <t>AE - scratched</t>
  </si>
  <si>
    <t>15/44</t>
  </si>
  <si>
    <t>21/51</t>
  </si>
  <si>
    <t>9/29</t>
  </si>
  <si>
    <t>J Moreira</t>
  </si>
  <si>
    <t>J Leyva</t>
  </si>
  <si>
    <t>Allowance 2YO</t>
  </si>
  <si>
    <t>Clásico Treinta y Tres Orientales (Listed) 2YO</t>
  </si>
  <si>
    <t>Bens E. Valores</t>
  </si>
  <si>
    <r>
      <rPr>
        <sz val="9"/>
        <rFont val="Wingdings"/>
        <charset val="2"/>
      </rPr>
      <t>t</t>
    </r>
    <r>
      <rPr>
        <sz val="9"/>
        <rFont val="Arial"/>
        <family val="2"/>
      </rPr>
      <t xml:space="preserve"> Ganadero-URU</t>
    </r>
  </si>
  <si>
    <t>supplementary entry</t>
  </si>
  <si>
    <r>
      <rPr>
        <sz val="9"/>
        <rFont val="Wingdings"/>
        <charset val="2"/>
      </rPr>
      <t>t</t>
    </r>
    <r>
      <rPr>
        <sz val="9"/>
        <rFont val="Arial"/>
        <family val="2"/>
      </rPr>
      <t xml:space="preserve"> Smaruani-URU</t>
    </r>
  </si>
  <si>
    <t>Chiquitin</t>
  </si>
  <si>
    <t>M Pombo</t>
  </si>
  <si>
    <t>F Palaveccio</t>
  </si>
  <si>
    <t>Asd</t>
  </si>
  <si>
    <t>3/12</t>
  </si>
  <si>
    <t>W-Tam, May-16</t>
  </si>
  <si>
    <t>Entrance Stakes (G3-RUS)</t>
  </si>
  <si>
    <t>Made strong mid-race move before tiring</t>
  </si>
  <si>
    <t>Amapola Racing Corp.</t>
  </si>
  <si>
    <t>Keen</t>
  </si>
  <si>
    <t>Gary Wills</t>
  </si>
  <si>
    <t>M Rodriguez</t>
  </si>
  <si>
    <t>A Rodriguez</t>
  </si>
  <si>
    <t>MTO</t>
  </si>
  <si>
    <t>CD</t>
  </si>
  <si>
    <t>Raced his entire career in Lousiana, shows up on the work tab at Churchill Downs</t>
  </si>
  <si>
    <t>Handicap 3YO&amp;up</t>
  </si>
  <si>
    <t>R-HNM, May-16</t>
  </si>
  <si>
    <t>Bebe Racing Stable, Inc.</t>
  </si>
  <si>
    <t>Cl16000 3YO&amp;up</t>
  </si>
  <si>
    <t>Prm</t>
  </si>
  <si>
    <t>14/33</t>
  </si>
  <si>
    <t>Has moved on to Prairie Meadows from Nebraska</t>
  </si>
  <si>
    <t>14/53</t>
  </si>
  <si>
    <t>Died - 2016</t>
  </si>
  <si>
    <t>ML odds favorite; injured in the backstretch and was humanely euthanized</t>
  </si>
  <si>
    <t>Injured his right front in a race on May 7 (Derby Day) 2016 and was humanely euthanized. // In Spring 2015, Nasa suffered bruising of the cannon bone and is expected to be out action until September 2015. // PTHA names Nasa its Champion 2YO for 2014. // Withdrawn from the 2013 Fasig-Tipton Midlantic Yearling Sale</t>
  </si>
  <si>
    <t>5/12</t>
  </si>
  <si>
    <t>28/75</t>
  </si>
  <si>
    <t>24/44</t>
  </si>
  <si>
    <t>4/54</t>
  </si>
  <si>
    <t>27/33</t>
  </si>
  <si>
    <t>Moved on to Assiniboia Downs, his regular summer home</t>
  </si>
  <si>
    <t>H Martinez</t>
  </si>
  <si>
    <r>
      <rPr>
        <strike/>
        <sz val="9"/>
        <rFont val="Wingdings"/>
        <charset val="2"/>
      </rPr>
      <t>t</t>
    </r>
    <r>
      <rPr>
        <strike/>
        <sz val="9"/>
        <rFont val="Arial"/>
        <family val="2"/>
      </rPr>
      <t xml:space="preserve"> Irish Pub-URU</t>
    </r>
  </si>
  <si>
    <t>Racing cancelled, surface maintenance required</t>
  </si>
  <si>
    <t>Scratched, re-entered for Thursday, May 12</t>
  </si>
  <si>
    <t>Hipódromo de San Félix - Paysandú (URU)</t>
  </si>
  <si>
    <t>Jayenne Associates, Ltd.</t>
  </si>
  <si>
    <t>S-HNM, May-16</t>
  </si>
  <si>
    <t>F Pennington</t>
  </si>
  <si>
    <t>L Hayes</t>
  </si>
  <si>
    <t>J Caraballa</t>
  </si>
  <si>
    <t>S Spieth</t>
  </si>
  <si>
    <t>G Mora</t>
  </si>
  <si>
    <t>E Murray</t>
  </si>
  <si>
    <t>Leland Hayes</t>
  </si>
  <si>
    <t>AP</t>
  </si>
  <si>
    <t>W-Lrl, May-16</t>
  </si>
  <si>
    <t>Horsemen's Park</t>
  </si>
  <si>
    <t>AllOptCl7500 3YO&amp;up</t>
  </si>
  <si>
    <t>MdCl14000 3YO&amp;up</t>
  </si>
  <si>
    <t>MdCl15000 [S] 3YO&amp;up</t>
  </si>
  <si>
    <t>Cl14000 3YO&amp;up</t>
  </si>
  <si>
    <t>MdCl4500 3YO&amp;up</t>
  </si>
  <si>
    <r>
      <rPr>
        <sz val="9"/>
        <rFont val="Wingdings"/>
        <charset val="2"/>
      </rPr>
      <t>t</t>
    </r>
    <r>
      <rPr>
        <sz val="9"/>
        <rFont val="Arial"/>
        <family val="2"/>
      </rPr>
      <t xml:space="preserve"> Hot Pope-URU</t>
    </r>
  </si>
  <si>
    <t>R Machado</t>
  </si>
  <si>
    <r>
      <rPr>
        <sz val="9"/>
        <rFont val="Wingdings"/>
        <charset val="2"/>
      </rPr>
      <t>t</t>
    </r>
    <r>
      <rPr>
        <sz val="9"/>
        <rFont val="Arial"/>
        <family val="2"/>
      </rPr>
      <t xml:space="preserve"> Harpagon-URU</t>
    </r>
  </si>
  <si>
    <t>Clásico Lavalleja 2YO</t>
  </si>
  <si>
    <t>Clásico Gran Premio Batalla de Las Piedras (G3-URU) 3YO&amp;up</t>
  </si>
  <si>
    <t>Cl8000 3YO&amp;up</t>
  </si>
  <si>
    <t>W-Prx, May-16</t>
  </si>
  <si>
    <t>ML odds favorite, claimed by trainer Michael Pino for new owners Just in Time Stable</t>
  </si>
  <si>
    <t>J Pérez</t>
  </si>
  <si>
    <t>D Sánchez</t>
  </si>
  <si>
    <t>Cl7500 [S] 3YO&amp;up</t>
  </si>
  <si>
    <t>Move-Up Stables</t>
  </si>
  <si>
    <t>M Leaf</t>
  </si>
  <si>
    <t>K Norris</t>
  </si>
  <si>
    <t>Willowdale Steeplechase</t>
  </si>
  <si>
    <t>MdCl15000 [Hurdle] 3YO&amp;up</t>
  </si>
  <si>
    <t>D Barr</t>
  </si>
  <si>
    <t>J Cruz</t>
  </si>
  <si>
    <t>George Hall</t>
  </si>
  <si>
    <t>P Lopez</t>
  </si>
  <si>
    <t>MdCl25000 3YO&amp;up</t>
  </si>
  <si>
    <t>Cl50000 3YO&amp;up</t>
  </si>
  <si>
    <t>Mth</t>
  </si>
  <si>
    <t>Bullet for his first published workout</t>
  </si>
  <si>
    <t>Off since December, moved to Monmouth</t>
  </si>
  <si>
    <t>47/57</t>
  </si>
  <si>
    <t>22/35</t>
  </si>
  <si>
    <t>32/59</t>
  </si>
  <si>
    <t>2nd favorite; Racing cancelled, surface maintenance required</t>
  </si>
  <si>
    <t>Scratched</t>
  </si>
  <si>
    <t>8/13</t>
  </si>
  <si>
    <t>5/14</t>
  </si>
  <si>
    <t>Stakes winner has been off since July</t>
  </si>
  <si>
    <t>Village Farm Thoroughbreds LLC</t>
  </si>
  <si>
    <t>D Nunn</t>
  </si>
  <si>
    <t>A Avala</t>
  </si>
  <si>
    <t>Cl10500 3YO&amp;up</t>
  </si>
  <si>
    <t>favorite as coupled entry</t>
  </si>
  <si>
    <t>coupled entry</t>
  </si>
  <si>
    <t>Talked Out</t>
  </si>
  <si>
    <t>Gld</t>
  </si>
  <si>
    <t>Hanshin Cup (G3) 3YO&amp;up</t>
  </si>
  <si>
    <t>Nominated</t>
  </si>
  <si>
    <t>Status changed to "deregistered" in May 2016. // Originally named "Hiroito." Exported to Malaya/Singapore and name changed to "Golden Express." Registered to race in February 2016. // Mare serviced September 9, 2011.</t>
  </si>
  <si>
    <t>Edward M. Phelps</t>
  </si>
  <si>
    <t>Scratched, coss-entered for May 18</t>
  </si>
  <si>
    <t>Fractions of 30.2 and 25.5; good sign to see Cartoon Fay Fay working so soon after racing</t>
  </si>
  <si>
    <t>ML odds favorite; claimed out of this race by trainer Jim Gaston for new owner Jerry Yocham</t>
  </si>
  <si>
    <t>4/30</t>
  </si>
  <si>
    <t>10/30</t>
  </si>
  <si>
    <t>44/74</t>
  </si>
  <si>
    <t>Del</t>
  </si>
  <si>
    <t>moved tack to Delaware Park from Penn National</t>
  </si>
  <si>
    <t>11/16</t>
  </si>
  <si>
    <t>moved on from the training center to Monmouth</t>
  </si>
  <si>
    <r>
      <rPr>
        <strike/>
        <sz val="9"/>
        <rFont val="Wingdings"/>
        <charset val="2"/>
      </rPr>
      <t>t</t>
    </r>
    <r>
      <rPr>
        <strike/>
        <sz val="9"/>
        <rFont val="Arial"/>
        <family val="2"/>
      </rPr>
      <t xml:space="preserve"> Hasmig-URU</t>
    </r>
  </si>
  <si>
    <t>stakes winner</t>
  </si>
  <si>
    <t>graded stakes winner</t>
  </si>
  <si>
    <t xml:space="preserve">  </t>
  </si>
  <si>
    <t>Pid</t>
  </si>
  <si>
    <t>19/34</t>
  </si>
  <si>
    <t>moved from Florida to Presque Isle</t>
  </si>
  <si>
    <t>scratched as also eligible</t>
  </si>
  <si>
    <t>P Ortega</t>
  </si>
  <si>
    <t>Cl40000 3YO&amp;up</t>
  </si>
  <si>
    <t>MdCl35000 3YO&amp;up</t>
  </si>
  <si>
    <t>12/18</t>
  </si>
  <si>
    <t>14/41</t>
  </si>
  <si>
    <t>R-HLP, May-16</t>
  </si>
  <si>
    <t>Patricia Farro</t>
  </si>
  <si>
    <t>C Progno</t>
  </si>
  <si>
    <t>AllOptCl35000 3YO</t>
  </si>
  <si>
    <t>Presque Isle Downs</t>
  </si>
  <si>
    <r>
      <rPr>
        <sz val="9"/>
        <rFont val="Wingdings"/>
        <charset val="2"/>
      </rPr>
      <t>t</t>
    </r>
    <r>
      <rPr>
        <sz val="9"/>
        <rFont val="Arial"/>
        <family val="2"/>
      </rPr>
      <t xml:space="preserve"> Habib-URU</t>
    </r>
  </si>
  <si>
    <r>
      <rPr>
        <sz val="9"/>
        <rFont val="Wingdings"/>
        <charset val="2"/>
      </rPr>
      <t>t</t>
    </r>
    <r>
      <rPr>
        <sz val="9"/>
        <rFont val="Arial"/>
        <family val="2"/>
      </rPr>
      <t xml:space="preserve"> Isaac Newton-URU</t>
    </r>
  </si>
  <si>
    <t>7/23</t>
  </si>
  <si>
    <t>Tiger Blood</t>
  </si>
  <si>
    <t>2/30</t>
  </si>
  <si>
    <t>2nd best, sub-48-second work, moved from Florida to Delaware Park</t>
  </si>
  <si>
    <t>1/11</t>
  </si>
  <si>
    <t>8/17</t>
  </si>
  <si>
    <t>36/44</t>
  </si>
  <si>
    <t>MdSpWt [hurdles] 3YO&amp;up</t>
  </si>
  <si>
    <t>High Hopes Steeplechase (Lexington KY)</t>
  </si>
  <si>
    <t>Radnor Hunt Races (Malvern PA)</t>
  </si>
  <si>
    <t>T Gardipy, Jr.</t>
  </si>
  <si>
    <t>R Mairs</t>
  </si>
  <si>
    <t>Assiniboia Downs (CAN)</t>
  </si>
  <si>
    <t>tag waived, in waiver claiming</t>
  </si>
  <si>
    <t>Karen Bjarnarson</t>
  </si>
  <si>
    <t>Chester and Mary Broman, Sr.</t>
  </si>
  <si>
    <t>R-Bel, May-16</t>
  </si>
  <si>
    <t>15/16</t>
  </si>
  <si>
    <t>9/10</t>
  </si>
  <si>
    <t>Dumped rider in warm-up and was a late scratch</t>
  </si>
  <si>
    <t>G Dahl</t>
  </si>
  <si>
    <t>J Arrascaeta</t>
  </si>
  <si>
    <t>S Bridgmohan</t>
  </si>
  <si>
    <t>co-favorite</t>
  </si>
  <si>
    <t>Janice Attard</t>
  </si>
  <si>
    <t>S Attard</t>
  </si>
  <si>
    <t>O Moreno</t>
  </si>
  <si>
    <t>Woobine Racetrack (CAN)</t>
  </si>
  <si>
    <t>CAN - Toronto</t>
  </si>
  <si>
    <t>J Samaniego</t>
  </si>
  <si>
    <t>A winner but was disqualified and placed last, forfeiting all purse monies, because he was not officially a PA-bred</t>
  </si>
  <si>
    <t>ML odds favorite, was winner in last but was disqualified and placed last due to a registration error</t>
  </si>
  <si>
    <t>Blame Smarty</t>
  </si>
  <si>
    <t>2nd best, 2012 gelding by Blame o/o Sweet Sophia, was 3rd in his debut last September and hasn't raced since, this was his 2nd workout on his return to training</t>
  </si>
  <si>
    <t>3/15</t>
  </si>
  <si>
    <t>1/16</t>
  </si>
  <si>
    <t>26/41</t>
  </si>
  <si>
    <t>LS</t>
  </si>
  <si>
    <t>13/33</t>
  </si>
  <si>
    <t>Gudermes Hippodrome (RUS)</t>
  </si>
  <si>
    <t>no purse</t>
  </si>
  <si>
    <t>A B Zikhov</t>
  </si>
  <si>
    <t>I Isaev</t>
  </si>
  <si>
    <t>65/72</t>
  </si>
  <si>
    <t>3/33</t>
  </si>
  <si>
    <t>28/33</t>
  </si>
  <si>
    <t>Fractions: 29.3 and 24.3</t>
  </si>
  <si>
    <r>
      <rPr>
        <strike/>
        <sz val="9"/>
        <rFont val="Wingdings"/>
        <charset val="2"/>
      </rPr>
      <t>t</t>
    </r>
    <r>
      <rPr>
        <strike/>
        <sz val="9"/>
        <rFont val="Arial"/>
        <family val="2"/>
      </rPr>
      <t xml:space="preserve"> Ganadero-URU</t>
    </r>
  </si>
  <si>
    <r>
      <rPr>
        <strike/>
        <sz val="9"/>
        <rFont val="Wingdings"/>
        <charset val="2"/>
      </rPr>
      <t>t</t>
    </r>
    <r>
      <rPr>
        <strike/>
        <sz val="9"/>
        <rFont val="Arial"/>
        <family val="2"/>
      </rPr>
      <t xml:space="preserve"> Hilmar-URU</t>
    </r>
  </si>
  <si>
    <t>`</t>
  </si>
  <si>
    <t>60/73</t>
  </si>
  <si>
    <t>PID</t>
  </si>
  <si>
    <t>Debut winner on May 21, 2016. // Mare serviced August 30, 2011.</t>
  </si>
  <si>
    <t>T Beattie</t>
  </si>
  <si>
    <t>W Martinez</t>
  </si>
  <si>
    <t>Ronald Harris Parker</t>
  </si>
  <si>
    <t>George W. Barker Stakes [S] 3YO&amp;up</t>
  </si>
  <si>
    <t>Commentator Stakes [S] 3YO&amp;up</t>
  </si>
  <si>
    <t>Lyman Stakes [S] 3YO&amp;up</t>
  </si>
  <si>
    <t>Was 3rd but winner was disqulaified (positive drug test) and Edger Jones was moved up to 2nd.</t>
  </si>
  <si>
    <t>StOptCl25000 3YO&amp;up</t>
  </si>
  <si>
    <t>WO-T</t>
  </si>
  <si>
    <t>4/8</t>
  </si>
  <si>
    <t>turf training track, first on the turf and it was quite respectable</t>
  </si>
  <si>
    <t>Map Room</t>
  </si>
  <si>
    <t>7/11</t>
  </si>
  <si>
    <t>MdCl5000 3YO&amp;up</t>
  </si>
  <si>
    <t>E Walker</t>
  </si>
  <si>
    <t>L Taylor</t>
  </si>
  <si>
    <t>Onthestraitannarrow</t>
  </si>
  <si>
    <t>F Patrón</t>
  </si>
  <si>
    <t>Cl15000 3YO&amp;up</t>
  </si>
  <si>
    <t>Jagger Inc.</t>
  </si>
  <si>
    <t>J Ness</t>
  </si>
  <si>
    <t>Class-5 Handicap 3YO&amp;up</t>
  </si>
  <si>
    <t>23/23</t>
  </si>
  <si>
    <t>Bought for $42,000 by KOID at the 2016 F-T Midlantic 2YO-in-Training Sale. He'll most likely be exported to Korea.  // Name claim for "Wiseguy" rejected as too similar to an existing name.</t>
  </si>
  <si>
    <t>Johnny Collins</t>
  </si>
  <si>
    <t>M Meneses</t>
  </si>
  <si>
    <t>Cl10000 3YO&amp;up</t>
  </si>
  <si>
    <t>scratched as 3rd also-eligible</t>
  </si>
  <si>
    <t>Nancy Lee Farm</t>
  </si>
  <si>
    <t>Full sister to John Jones. // Northview showed as "unreported"</t>
  </si>
  <si>
    <t>Castle Rock Farm</t>
  </si>
  <si>
    <t>Song Hill Thoroughbreds LLC</t>
  </si>
  <si>
    <t>colt (NY)</t>
  </si>
  <si>
    <t>Bob and Maryann Miller</t>
  </si>
  <si>
    <t>Wannahearsomejones</t>
  </si>
  <si>
    <t>8/8</t>
  </si>
  <si>
    <t>17/18</t>
  </si>
  <si>
    <t>Nominated for a couple upcoming stakes at both Finger Lakes and Belmont Park</t>
  </si>
  <si>
    <t>Akindale</t>
  </si>
  <si>
    <t>over 'wood chips</t>
  </si>
  <si>
    <t>Cl7500 3YO&amp;up</t>
  </si>
  <si>
    <t>AllOptCl20000 [S] 3YO&amp;up</t>
  </si>
  <si>
    <t>Scracthed, supplementary entry</t>
  </si>
  <si>
    <t>5/11</t>
  </si>
  <si>
    <t>17/33</t>
  </si>
  <si>
    <t>9/26</t>
  </si>
  <si>
    <t>Worked a mile in conjunction with Smarty grandson Humility (3YO Indygo Shiner colt o/o Brilliant Sunshine)</t>
  </si>
  <si>
    <t>31/49</t>
  </si>
  <si>
    <t>24/49</t>
  </si>
  <si>
    <t>2nd best, sub-48-second work</t>
  </si>
  <si>
    <t>P Farro</t>
  </si>
  <si>
    <t>Cl4000 3YO&amp;up</t>
  </si>
  <si>
    <t>scratched as also eligible, re-entered for Saturday</t>
  </si>
  <si>
    <t>7/27</t>
  </si>
  <si>
    <t>20/27</t>
  </si>
  <si>
    <t>a mile work</t>
  </si>
  <si>
    <t>MdCl75000 3YO&amp;up</t>
  </si>
  <si>
    <t>S Machiz</t>
  </si>
  <si>
    <t xml:space="preserve">2nd at 47/1 </t>
  </si>
  <si>
    <t>Shadybrook Farm, Inc. and Haire, Maria Montez</t>
  </si>
  <si>
    <t>Gary and Stacy Machiz</t>
  </si>
  <si>
    <t>MdCl40000 3YO&amp;up</t>
  </si>
  <si>
    <t>14/15</t>
  </si>
  <si>
    <t>off eight weeks</t>
  </si>
  <si>
    <t>J Eads</t>
  </si>
  <si>
    <t>E Gonzalez</t>
  </si>
  <si>
    <t>2016 OBS June 2YO-in-Training Sale - Tuesday, June 14</t>
  </si>
  <si>
    <t>Clásico Campeones Juvenile Fillies 2YO</t>
  </si>
  <si>
    <t>Clásico Campeones Juvenile 2YO</t>
  </si>
  <si>
    <r>
      <rPr>
        <sz val="9"/>
        <rFont val="Wingdings"/>
        <charset val="2"/>
      </rPr>
      <t>t</t>
    </r>
    <r>
      <rPr>
        <sz val="9"/>
        <rFont val="Arial"/>
        <family val="2"/>
      </rPr>
      <t xml:space="preserve"> Smarty Su-URU</t>
    </r>
  </si>
  <si>
    <t>Oro Negro</t>
  </si>
  <si>
    <t>barrier trail, was never asked and trailed throughout</t>
  </si>
  <si>
    <t>Conquest Stables, LLC</t>
  </si>
  <si>
    <t>M Casse</t>
  </si>
  <si>
    <t>Woodbine</t>
  </si>
  <si>
    <t>Robert Hovelson</t>
  </si>
  <si>
    <t>Retired to Turning for Home in May 2016. // Named 2013 Parx Horse of the Year, also Top Male Horse and Top Claim. // Entered in the 2013 Breeders Cup Marathon. // Gelded in Summer, 2012. // Updated (as of July 2009): Indian Jones was sent to Churchill Downs, were he bucked his shins. He was then shipped back to Calumet and was pinfired. He goes back to Churchill at the end of July under Hal Wiggins. Bill Whitman, manager of Calumet, said that it took Indian Jones a while to broaden and was first worried that he was "too pretty to run!" // Bought by Yvette Wira for $30,000 at the 2008 Keeneland September Yearling Sale, consigned by Three Chimneys Sales, Agent. The Wira's (Richard and Yvette) are California-based owners and breeders, whose biggest horse was G1-placed, Summer Wind Dancer, a CA-bred winner of $865,000, also out of (surprise) Native Wind Dancer // Half-brother to Summer Wind Dancer</t>
  </si>
  <si>
    <r>
      <rPr>
        <sz val="9"/>
        <rFont val="Wingdings"/>
        <charset val="2"/>
      </rPr>
      <t>t</t>
    </r>
    <r>
      <rPr>
        <sz val="9"/>
        <rFont val="Arial"/>
        <family val="2"/>
      </rPr>
      <t xml:space="preserve"> Ines del Almamia-URU</t>
    </r>
  </si>
  <si>
    <t>Juan Feli</t>
  </si>
  <si>
    <t>A Iturriaga</t>
  </si>
  <si>
    <t>Class-3 Handicap 3YO&amp;up</t>
  </si>
  <si>
    <t>Clásico Criterium 2YO</t>
  </si>
  <si>
    <t>Clásico Gran Criterium 2YO</t>
  </si>
  <si>
    <r>
      <rPr>
        <sz val="9"/>
        <rFont val="Wingdings"/>
        <charset val="2"/>
      </rPr>
      <t>t</t>
    </r>
    <r>
      <rPr>
        <sz val="9"/>
        <rFont val="Arial"/>
        <family val="2"/>
      </rPr>
      <t xml:space="preserve"> Inepto-URU</t>
    </r>
  </si>
  <si>
    <t>M Pino</t>
  </si>
  <si>
    <t>D Ward</t>
  </si>
  <si>
    <t>P Scherbenske</t>
  </si>
  <si>
    <t>R Silvera</t>
  </si>
  <si>
    <t>V Baze</t>
  </si>
  <si>
    <t>J Jacinto</t>
  </si>
  <si>
    <t>S Gonzalez</t>
  </si>
  <si>
    <t>Just in Time Stable</t>
  </si>
  <si>
    <t>Ridenjac Racing</t>
  </si>
  <si>
    <t>F Piriz</t>
  </si>
  <si>
    <t>L Contreras</t>
  </si>
  <si>
    <t>A Serpa</t>
  </si>
  <si>
    <t>C Marquez, Jr.</t>
  </si>
  <si>
    <t>O Gomez</t>
  </si>
  <si>
    <t>Off turf</t>
  </si>
  <si>
    <t>Cl20000 3YO&amp;up</t>
  </si>
  <si>
    <t>Scratched, cross-entered for 6/7/16</t>
  </si>
  <si>
    <t>AllOptCl65000 3YO&amp;up</t>
  </si>
  <si>
    <t>AE, scratched</t>
  </si>
  <si>
    <t>coupled entry, scratched</t>
  </si>
  <si>
    <r>
      <rPr>
        <strike/>
        <sz val="9"/>
        <rFont val="Wingdings"/>
        <charset val="2"/>
      </rPr>
      <t>t</t>
    </r>
    <r>
      <rPr>
        <strike/>
        <sz val="9"/>
        <rFont val="Arial"/>
        <family val="2"/>
      </rPr>
      <t xml:space="preserve"> Harpagon-URU</t>
    </r>
  </si>
  <si>
    <t>22/33</t>
  </si>
  <si>
    <t>Rui</t>
  </si>
  <si>
    <t>Returns from six month layoff; Graded Stakes Placed gelding is just $59,005 shy of $1 million in earnings</t>
  </si>
  <si>
    <t>E Tejera</t>
  </si>
  <si>
    <t>T Rice</t>
  </si>
  <si>
    <t>6/8</t>
  </si>
  <si>
    <t>Easy work on the turf</t>
  </si>
  <si>
    <t>Smarty Jones win #998 as a sire</t>
  </si>
  <si>
    <t>Smarty Jones win #999 as a sire</t>
  </si>
  <si>
    <t>Cl11000 3YO&amp;up</t>
  </si>
  <si>
    <t>S Sanjur</t>
  </si>
  <si>
    <t>AllOptCl35000 3YO&amp;up</t>
  </si>
  <si>
    <t>James Hardin</t>
  </si>
  <si>
    <t>C Johnstone</t>
  </si>
  <si>
    <t>Donald LeVine Memorial Stakes 3YO&amp;up</t>
  </si>
  <si>
    <t>Ell</t>
  </si>
  <si>
    <t>3/32</t>
  </si>
  <si>
    <t>gelding, b. (ONT)</t>
  </si>
  <si>
    <t>gelding, ch. (ON)</t>
  </si>
  <si>
    <t>A Ayala</t>
  </si>
  <si>
    <t>L Le Geay</t>
  </si>
  <si>
    <t>6/49</t>
  </si>
  <si>
    <t>Klobia S. Carroll</t>
  </si>
  <si>
    <t>C Reese</t>
  </si>
  <si>
    <t>J Flores</t>
  </si>
  <si>
    <t>MdCl10000 3YO&amp;up</t>
  </si>
  <si>
    <t>PJG Stable</t>
  </si>
  <si>
    <t>G Preciado</t>
  </si>
  <si>
    <t>M Sanchez</t>
  </si>
  <si>
    <t>R-Mth, Jun-16</t>
  </si>
  <si>
    <t>Smarty Jones win #1,000 as a sire.</t>
  </si>
  <si>
    <t>K Miura</t>
  </si>
  <si>
    <t>Tokyo Racecourse (JPN)</t>
  </si>
  <si>
    <t>Akhalteke Stakes 3YO&amp;up</t>
  </si>
  <si>
    <t>coupled entry, ML odds favorite</t>
  </si>
  <si>
    <t>was 8/100ths off track record</t>
  </si>
  <si>
    <t>M Remedio</t>
  </si>
  <si>
    <t xml:space="preserve">Owner Hank Nothhaft officially retired Smarty's Legend in June 2016 due to recurring health issues.  //  Arrived at Parx Racing in June 2014 and is in the barn of trainer Keith Nations. </t>
  </si>
  <si>
    <t>Jerry D. Yocham</t>
  </si>
  <si>
    <t>J Gaston</t>
  </si>
  <si>
    <t>T Thompson</t>
  </si>
  <si>
    <t>ML odds favorite; entry-mate won; DQ'd from 2nd place to last and all purse money forfeited due to a technicality with his state-bred registration</t>
  </si>
  <si>
    <t>ML odds favorite; finished 2nd but was DQ'd due to a positive drug test result and was placed last with all purse monies forfeited</t>
  </si>
  <si>
    <t>Finished 6th but moved up to 5th via DQ of Someday Jones</t>
  </si>
  <si>
    <t>1/65</t>
  </si>
  <si>
    <t>Hara Don Camilio</t>
  </si>
  <si>
    <t>A De los Santo</t>
  </si>
  <si>
    <r>
      <rPr>
        <sz val="9"/>
        <rFont val="Wingdings"/>
        <charset val="2"/>
      </rPr>
      <t>t</t>
    </r>
    <r>
      <rPr>
        <sz val="9"/>
        <rFont val="Arial"/>
        <family val="2"/>
      </rPr>
      <t xml:space="preserve"> Italia Fausta-URU</t>
    </r>
  </si>
  <si>
    <t>R Cardozo</t>
  </si>
  <si>
    <t>Haras El Descanso</t>
  </si>
  <si>
    <t>Non-winners at HLP 3YO</t>
  </si>
  <si>
    <t>R-CT, Jun-16</t>
  </si>
  <si>
    <t>R-Pen, Jun-16</t>
  </si>
  <si>
    <t>R-HNM, Jun-16</t>
  </si>
  <si>
    <t>R-WO, Jun-16</t>
  </si>
  <si>
    <t>Winterhawk Farm</t>
  </si>
  <si>
    <t>K DePasquale</t>
  </si>
  <si>
    <t>G Delgado</t>
  </si>
  <si>
    <t>MdCl16000 3YO&amp;up</t>
  </si>
  <si>
    <t>R-HLP, Jun-16</t>
  </si>
  <si>
    <t>Woodbine Racetrack (CAN)</t>
  </si>
  <si>
    <t>27/82</t>
  </si>
  <si>
    <t>Offered at the 2016 OBS June 2YOs in Training Sale but did not sell (RNA at $9,500). // Bought by Gold Star for $2,200 at the 2015 OBS Fall Mixed Sale. // Bought by Ronaldo Rodas-Flores for $4,000 at the 2015 OBS August Yearling Sale</t>
  </si>
  <si>
    <t>W-Prx, Jun-16</t>
  </si>
  <si>
    <t>Karen S. Farrar</t>
  </si>
  <si>
    <t>Elke Zuckerwar</t>
  </si>
  <si>
    <t>Miz Rey</t>
  </si>
  <si>
    <t>9/18</t>
  </si>
  <si>
    <t>W-Lrl, Jun-16</t>
  </si>
  <si>
    <t>18/25</t>
  </si>
  <si>
    <t>20/25</t>
  </si>
  <si>
    <t>A Moreno</t>
  </si>
  <si>
    <t>4/21</t>
  </si>
  <si>
    <t>17/61</t>
  </si>
  <si>
    <t>X</t>
  </si>
  <si>
    <t>first gate work, the second of Smarty's Northern Hemisphere 2YOs to post a gate work</t>
  </si>
  <si>
    <t>returned to work tab, first work since making her debut in April.</t>
  </si>
  <si>
    <t>5/61</t>
  </si>
  <si>
    <t>7/7</t>
  </si>
  <si>
    <t>Cold Snack Thirty</t>
  </si>
  <si>
    <t>Kee</t>
  </si>
  <si>
    <t>32/53</t>
  </si>
  <si>
    <t>Stanton Stakes 3YO</t>
  </si>
  <si>
    <t>Curragh Stables</t>
  </si>
  <si>
    <t>J Terranova II</t>
  </si>
  <si>
    <t>J Enriquez</t>
  </si>
  <si>
    <t>18/40</t>
  </si>
  <si>
    <t>26/52</t>
  </si>
  <si>
    <t>returned, off since April</t>
  </si>
  <si>
    <r>
      <rPr>
        <strike/>
        <sz val="9"/>
        <rFont val="Wingdings"/>
        <charset val="2"/>
      </rPr>
      <t>t</t>
    </r>
    <r>
      <rPr>
        <strike/>
        <sz val="9"/>
        <rFont val="Arial"/>
        <family val="2"/>
      </rPr>
      <t xml:space="preserve"> Isaac Newton-URU</t>
    </r>
  </si>
  <si>
    <t>FM</t>
  </si>
  <si>
    <t>Returned, last worked in March, unraced 5YO mare</t>
  </si>
  <si>
    <t>24/24</t>
  </si>
  <si>
    <t>Total Futbol</t>
  </si>
  <si>
    <t>3YO Street Sense gelding o/o Smart and Fancy, an allowance winner in his first start of 2016 last time out</t>
  </si>
  <si>
    <t>A Pshikhachev</t>
  </si>
  <si>
    <t>L Colon</t>
  </si>
  <si>
    <t>Unraced 3YO NJ-bred colt has been off since March</t>
  </si>
  <si>
    <t>Cl2500 3YO&amp;up</t>
  </si>
  <si>
    <t>Martina De Prata</t>
  </si>
  <si>
    <r>
      <rPr>
        <sz val="9"/>
        <rFont val="Wingdings"/>
        <charset val="2"/>
      </rPr>
      <t>t</t>
    </r>
    <r>
      <rPr>
        <sz val="9"/>
        <rFont val="Arial"/>
        <family val="2"/>
      </rPr>
      <t xml:space="preserve"> India Karue-URU</t>
    </r>
  </si>
  <si>
    <t>Por La Vuelta</t>
  </si>
  <si>
    <t>J Lazo</t>
  </si>
  <si>
    <r>
      <rPr>
        <sz val="9"/>
        <rFont val="Wingdings"/>
        <charset val="2"/>
      </rPr>
      <t>t</t>
    </r>
    <r>
      <rPr>
        <sz val="9"/>
        <rFont val="Arial"/>
        <family val="2"/>
      </rPr>
      <t xml:space="preserve"> Snowden-URU</t>
    </r>
  </si>
  <si>
    <t>Clásico Gran Premio Criterium (G2-URU) 2YO</t>
  </si>
  <si>
    <t>Nick Polydoros</t>
  </si>
  <si>
    <t>ML odds favorite as MTO, scratched</t>
  </si>
  <si>
    <t>7/8</t>
  </si>
  <si>
    <t>Unraced 3YO colt, second gate work</t>
  </si>
  <si>
    <t>2/6</t>
  </si>
  <si>
    <t>T Conner</t>
  </si>
  <si>
    <t>N Turner</t>
  </si>
  <si>
    <t>J Lambert</t>
  </si>
  <si>
    <t>Georgia M. Sharpe</t>
  </si>
  <si>
    <t>C Suarez</t>
  </si>
  <si>
    <t>R Lopez</t>
  </si>
  <si>
    <t>E Lazo</t>
  </si>
  <si>
    <t>J A Píriz</t>
  </si>
  <si>
    <t>J L Píriz</t>
  </si>
  <si>
    <t>first published work, unraced 3YO filly</t>
  </si>
  <si>
    <t>2nd best, 2nd gate work; entered to debut next Thursday</t>
  </si>
  <si>
    <t>E Castro</t>
  </si>
  <si>
    <t>StOptCl30000 3YO&amp;up</t>
  </si>
  <si>
    <t>C Paine</t>
  </si>
  <si>
    <t>P Husbands</t>
  </si>
  <si>
    <t>F Maysonett</t>
  </si>
  <si>
    <t>Cl18000 3YO&amp;up</t>
  </si>
  <si>
    <t>Late scratch, vet</t>
  </si>
  <si>
    <r>
      <rPr>
        <strike/>
        <sz val="9"/>
        <rFont val="Wingdings"/>
        <charset val="2"/>
      </rPr>
      <t>t</t>
    </r>
    <r>
      <rPr>
        <strike/>
        <sz val="9"/>
        <rFont val="Arial"/>
        <family val="2"/>
      </rPr>
      <t xml:space="preserve"> Indy Jones-URU</t>
    </r>
  </si>
  <si>
    <t>Ret</t>
  </si>
  <si>
    <t>Last worked briefly for a period last November but last raced in January 2014, yet to win in 4career starts but has two 2nds</t>
  </si>
  <si>
    <t>voluntary early scratch</t>
  </si>
  <si>
    <r>
      <rPr>
        <strike/>
        <sz val="9"/>
        <rFont val="Wingdings"/>
        <charset val="2"/>
      </rPr>
      <t>t</t>
    </r>
    <r>
      <rPr>
        <strike/>
        <sz val="9"/>
        <rFont val="Arial"/>
        <family val="2"/>
      </rPr>
      <t xml:space="preserve"> Inepto-URU</t>
    </r>
  </si>
  <si>
    <t>Debut winner, June 25, 2016</t>
  </si>
  <si>
    <t>9/24</t>
  </si>
  <si>
    <t>46/62</t>
  </si>
  <si>
    <t>43/49</t>
  </si>
  <si>
    <t>11/37</t>
  </si>
  <si>
    <t>Lousiana Legends Turf Stakes [S] 3YO&amp;up</t>
  </si>
  <si>
    <t>Rumors of her retirement, unfortunately, were premature</t>
  </si>
  <si>
    <t>Md Allowance 4YO</t>
  </si>
  <si>
    <t>StOptCl10000 3YO&amp;up</t>
  </si>
  <si>
    <t>Strike The Anvil Stakes [S] 3YO&amp;up</t>
  </si>
  <si>
    <r>
      <rPr>
        <sz val="9"/>
        <rFont val="Wingdings"/>
        <charset val="2"/>
      </rPr>
      <t>t</t>
    </r>
    <r>
      <rPr>
        <sz val="9"/>
        <rFont val="Arial"/>
        <family val="2"/>
      </rPr>
      <t xml:space="preserve"> Bertilda-URU</t>
    </r>
  </si>
  <si>
    <t>El Ninja</t>
  </si>
  <si>
    <t>Handicap 4YO&amp;up</t>
  </si>
  <si>
    <t>Non-winners at HNM 4YO</t>
  </si>
  <si>
    <r>
      <rPr>
        <sz val="9"/>
        <rFont val="Wingdings"/>
        <charset val="2"/>
      </rPr>
      <t>t</t>
    </r>
    <r>
      <rPr>
        <sz val="9"/>
        <rFont val="Arial"/>
        <family val="2"/>
      </rPr>
      <t xml:space="preserve"> Helmuth-URU</t>
    </r>
  </si>
  <si>
    <t>Allowance 4YO</t>
  </si>
  <si>
    <t>Glorioso Misones</t>
  </si>
  <si>
    <t>Salvator Mile Stakes (G3) 3YO&amp;up</t>
  </si>
  <si>
    <t>W-WH, Jun-16</t>
  </si>
  <si>
    <t>Wln</t>
  </si>
  <si>
    <t>2YO WV-bred filly, First published work, at Walnut Hall Traning Center (Middleburg VA)</t>
  </si>
  <si>
    <t>First published work, 2YO colt</t>
  </si>
  <si>
    <t>K Feron</t>
  </si>
  <si>
    <t>J Lezcano</t>
  </si>
  <si>
    <t>James Addessi</t>
  </si>
  <si>
    <t>Jim Harden</t>
  </si>
  <si>
    <t>P Rodriguez</t>
  </si>
  <si>
    <t>C Mendez</t>
  </si>
  <si>
    <t>Nominated but race did not run on July 4 as scheduled</t>
  </si>
  <si>
    <t>3YO colt has moved to Penn National from the training center</t>
  </si>
  <si>
    <t>2/15</t>
  </si>
  <si>
    <t>2nd best, first gate work for 2YO colt</t>
  </si>
  <si>
    <t>2nd best for 3YO colt, had been off since March</t>
  </si>
  <si>
    <t>G Garcia</t>
  </si>
  <si>
    <t>26/44</t>
  </si>
  <si>
    <t>First published work, 4YO filly</t>
  </si>
  <si>
    <t>6/38</t>
  </si>
  <si>
    <t>scratched, off turf</t>
  </si>
  <si>
    <t>Stakes winner</t>
  </si>
  <si>
    <t>2nd best, second gate work</t>
  </si>
  <si>
    <t>5/16</t>
  </si>
  <si>
    <t>2/52</t>
  </si>
  <si>
    <t>Smarty grandson, 2014 Backtalk gelding</t>
  </si>
  <si>
    <r>
      <rPr>
        <strike/>
        <sz val="9"/>
        <rFont val="Wingdings"/>
        <charset val="2"/>
      </rPr>
      <t>t</t>
    </r>
    <r>
      <rPr>
        <strike/>
        <sz val="9"/>
        <rFont val="Arial"/>
        <family val="2"/>
      </rPr>
      <t xml:space="preserve"> Hillary C-URU</t>
    </r>
  </si>
  <si>
    <t>supplementary entry, scratched</t>
  </si>
  <si>
    <t>R-Mth, Jul-16</t>
  </si>
  <si>
    <t>coupled entry, 2nd favorite, scratched</t>
  </si>
  <si>
    <t>Hunter</t>
  </si>
  <si>
    <t>R-HLP, Jul-16</t>
  </si>
  <si>
    <t>2nd favorite, scratched as coupled entry</t>
  </si>
  <si>
    <t>S-HLP, Jul-16</t>
  </si>
  <si>
    <r>
      <rPr>
        <strike/>
        <sz val="9"/>
        <rFont val="Wingdings"/>
        <charset val="2"/>
      </rPr>
      <t>t</t>
    </r>
    <r>
      <rPr>
        <strike/>
        <sz val="9"/>
        <rFont val="Arial"/>
        <family val="2"/>
      </rPr>
      <t xml:space="preserve"> Hada Luna-URU</t>
    </r>
  </si>
  <si>
    <t>winner at 55/1</t>
  </si>
  <si>
    <t>A Castrenze</t>
  </si>
  <si>
    <t>Karen M. Benshoff</t>
  </si>
  <si>
    <t>Cape Henlopen Stakes 3YO&amp;up</t>
  </si>
  <si>
    <t>Long Branch Stakes (L) 3YO&amp;up</t>
  </si>
  <si>
    <t>Gordon Keys</t>
  </si>
  <si>
    <t>R-Prx, Jul-16</t>
  </si>
  <si>
    <t>R-GP, Jul-16</t>
  </si>
  <si>
    <t>R-HNM, Jul-16</t>
  </si>
  <si>
    <t>S-HNM, Jul-16</t>
  </si>
  <si>
    <t>Handicap Especial Necessaire 4YO&amp;up</t>
  </si>
  <si>
    <t>Md Allowance 4YO&amp;up</t>
  </si>
  <si>
    <r>
      <rPr>
        <sz val="9"/>
        <rFont val="Wingdings"/>
        <charset val="2"/>
      </rPr>
      <t>t</t>
    </r>
    <r>
      <rPr>
        <sz val="9"/>
        <rFont val="Arial"/>
        <family val="2"/>
      </rPr>
      <t xml:space="preserve"> Bold Agreement-URU</t>
    </r>
  </si>
  <si>
    <t>Los Exploradores</t>
  </si>
  <si>
    <t>P Lorrosa</t>
  </si>
  <si>
    <t>FH-awt</t>
  </si>
  <si>
    <t>MdCl7500 3YO&amp;up</t>
  </si>
  <si>
    <t>L Ocasio</t>
  </si>
  <si>
    <t>16/17</t>
  </si>
  <si>
    <t>14/17</t>
  </si>
  <si>
    <t>2nd best, sub-36-second 3f breeze, unraced 3YO colt</t>
  </si>
  <si>
    <t>A Silva</t>
  </si>
  <si>
    <t>J Guerra</t>
  </si>
  <si>
    <t>T Cunningham</t>
  </si>
  <si>
    <t>R-Pen, Jul-16</t>
  </si>
  <si>
    <t>S and R Racing Partnership</t>
  </si>
  <si>
    <t>Had a LA-bred filly by Csaba on April 21. Breeder was Anne Buxton and Neil Leibskin. // Withdrawn from the 2012 OBS Spring 2YOs in Training Sale. //  Bought by Louis Ross for $18,500 at the OBS 2011 Winter Mixed Sale.</t>
  </si>
  <si>
    <t>2/16</t>
  </si>
  <si>
    <t>8/24</t>
  </si>
  <si>
    <t>18/24</t>
  </si>
  <si>
    <t>Warrior Veterans Stakes 4YO&amp;up</t>
  </si>
  <si>
    <t>Michael G. Shaefer Memorial Stakes 3YO&amp;up</t>
  </si>
  <si>
    <t>5/41</t>
  </si>
  <si>
    <t>scratched, re-entered to race on July 13</t>
  </si>
  <si>
    <t>39/40</t>
  </si>
  <si>
    <t>Bobo Jones</t>
  </si>
  <si>
    <t>New, unreported to Jockey Club; full-brother to Hollywood Jones</t>
  </si>
  <si>
    <t>ML odds favorite, claimed by trainer Danny Pish for new owners GFB Raccing, LLC</t>
  </si>
  <si>
    <t>GFB Racing, LLC</t>
  </si>
  <si>
    <t>AllOptCl17500 3YO&amp;up</t>
  </si>
  <si>
    <t>57/62</t>
  </si>
  <si>
    <t>S-Mth, Jul-16</t>
  </si>
  <si>
    <t>AllOptCl80000 3YO&amp;up</t>
  </si>
  <si>
    <t>J Salzman, Jr.</t>
  </si>
  <si>
    <t>G Capuano</t>
  </si>
  <si>
    <t>MdCl40000 2YO</t>
  </si>
  <si>
    <t>John Salzman, Jr., Fred Wasserloos, and George Greenwalt</t>
  </si>
  <si>
    <t>W-Rui, Jul-16</t>
  </si>
  <si>
    <t>E. Z. Kurbanov</t>
  </si>
  <si>
    <t>Nal'chik Hippodrome (RUS)</t>
  </si>
  <si>
    <t>Granit II Stakes 3YO&amp;up</t>
  </si>
  <si>
    <t>P Morales</t>
  </si>
  <si>
    <r>
      <rPr>
        <sz val="9"/>
        <rFont val="Wingdings"/>
        <charset val="2"/>
      </rPr>
      <t>t</t>
    </r>
    <r>
      <rPr>
        <sz val="9"/>
        <rFont val="Arial"/>
        <family val="2"/>
      </rPr>
      <t xml:space="preserve"> El Cardo Rubio-URU</t>
    </r>
  </si>
  <si>
    <t>I Pereira</t>
  </si>
  <si>
    <t>El Caverna</t>
  </si>
  <si>
    <t>ML odds favorite, late scracth</t>
  </si>
  <si>
    <t>S-Prx, Jul-16</t>
  </si>
  <si>
    <t>K Harigeogiou</t>
  </si>
  <si>
    <t>Nominated but not entered, raced on 7/15 instead</t>
  </si>
  <si>
    <t>44/108</t>
  </si>
  <si>
    <t>2nd published work</t>
  </si>
  <si>
    <t>2nd published work, 2YO colt</t>
  </si>
  <si>
    <t>soft bullet</t>
  </si>
  <si>
    <t>1/13</t>
  </si>
  <si>
    <t>stakes winner, 2nd straight bullet, 4YO gelding</t>
  </si>
  <si>
    <t>Bred to Teuflesberg in 2016. // Had a Colonel John filly in 2015. // Foaled a NY-bred by Mizzen Mast on March 2, 2013.</t>
  </si>
  <si>
    <t>15/15</t>
  </si>
  <si>
    <t>6/6</t>
  </si>
  <si>
    <t>Off since March, has moved on to Monmouth Park</t>
  </si>
  <si>
    <t>Off since May, has moved on Los Al</t>
  </si>
  <si>
    <t>D Crane</t>
  </si>
  <si>
    <t>MdCl15000 3YO&amp;up</t>
  </si>
  <si>
    <t>B Kulp</t>
  </si>
  <si>
    <t>J Nunez</t>
  </si>
  <si>
    <t>Shady Greens LLC</t>
  </si>
  <si>
    <t>Jason Servis</t>
  </si>
  <si>
    <t>V Lebron</t>
  </si>
  <si>
    <t>C Payne</t>
  </si>
  <si>
    <t>M Salvaggio</t>
  </si>
  <si>
    <t>O Bocachica</t>
  </si>
  <si>
    <t>Crowd Pleaser Stakes [S] 3YO</t>
  </si>
  <si>
    <t>Offered at the 2011 OBS March Sale of Selected 2YOs in Training, but did not sell (high bid was $24,000). // Bought by Holley Rice for $10,000 at the 2010 Keeneland September Yearling Sale</t>
  </si>
  <si>
    <t>M Jones, Jr.</t>
  </si>
  <si>
    <t>7/10</t>
  </si>
  <si>
    <t>W-Lrl, Jul-16</t>
  </si>
  <si>
    <t xml:space="preserve">Retired as broodmare at Haras San Miguel Exported to Panama. // Bought by JC Farms for $6,500 at the 2008 Keeneland September Yearling Sale, consigned by Gainesway, Agent. </t>
  </si>
  <si>
    <t xml:space="preserve">Assumed retired on the basis of three years inactivity dating back to June 2013. // Debut winner in July 2009. // As of July 2009, owned by Jerry Durant &amp; Bill Jordan; bred by John Oxley. // Offered at the 2009 Fasig-Tipton Calder Select Two-Year-Olds in Training Sale, but did not sell (high bid, $35,000). One on-site observer during the workouts noted: "Smarty filly in 11.1 for 1f. She doesn't have a lot of muscle. Needs to do some more growing and filling out. She was struggling." // Bought by Pike Racing for $65,000 at the 2008 Kentucky July Yearlings Sale, consigned by Gainesway. </t>
  </si>
  <si>
    <t>E Rodrigues</t>
  </si>
  <si>
    <t xml:space="preserve">Edger Jones </t>
  </si>
  <si>
    <t>placed 2nd by half-length but the winner was disqualified and Edger Jones place 1st</t>
  </si>
  <si>
    <t>6/40</t>
  </si>
  <si>
    <t>Worked eight days after his debut race</t>
  </si>
  <si>
    <t>unraced 3YO colt, breezed 6f</t>
  </si>
  <si>
    <t>2nd favorite, scratched</t>
  </si>
  <si>
    <t>17/49</t>
  </si>
  <si>
    <t>8/9</t>
  </si>
  <si>
    <t>Btr</t>
  </si>
  <si>
    <t>Bred to Pioneerof the Nile in 2016. // Had a KY-bred filly out of Speightstown in 2016. // Offered at the 2015 Keeneland November Sale, in foal to  Speightstown, but did not sell (RNA at $390,000). // Had a NY-bred filly by Bodemeister in 2015. // Bought by Robert Tiller, agent, for CAN$47,000 (US$46,092) at the 2010 Canadian September Yearlings Sale. // Removed from the 2010 Keeneland January Horses of All Ages Sale. // Ontario foal.</t>
  </si>
  <si>
    <t>Quite Dramatic</t>
  </si>
  <si>
    <t>Unusual Heat</t>
  </si>
  <si>
    <t>A. P. Test</t>
  </si>
  <si>
    <t>Easy Chair</t>
  </si>
  <si>
    <t>claimed by trainer Jorge Navarro for owner Monster Racing Stables</t>
  </si>
  <si>
    <t>L Signoretti</t>
  </si>
  <si>
    <t>Debut winner, July 18, 2016</t>
  </si>
  <si>
    <t>C Duncan, Sr.</t>
  </si>
  <si>
    <t xml:space="preserve">C Duncan, Sr. </t>
  </si>
  <si>
    <t>Fio Rito Stakes [S] 3YO&amp;up</t>
  </si>
  <si>
    <t>Marshall Jenney Stakes [S] 3YO&amp;up</t>
  </si>
  <si>
    <t>Roanoke Stakes [S] 3YO&amp;up</t>
  </si>
  <si>
    <t>Dr. Teresa Garofalo Stakes [S] 3YO&amp;up</t>
  </si>
  <si>
    <t>Projected Earnings - 2016</t>
  </si>
  <si>
    <t>Angel Amy possibly went to Smarty Jones but also could have gone to Americain. Have to keep an eye on this. The foal would be a full to Plasma Beam.</t>
  </si>
  <si>
    <t>2015 Lucky Pulpit filly offered at the Barrett's 2016 August Seect Yearlings Sale. // Offered at the Barrett's 2016 January Sale, in foal to Lucky Pulpit, but did not sell (RNA at $900). // Had a filly by Lucky Pulpit in 2015, and bred back to Lucky Pulpit in 2015.</t>
  </si>
  <si>
    <t>Pacific Coast Thoroughbreds</t>
  </si>
  <si>
    <t>C Salcedo</t>
  </si>
  <si>
    <t>Del Mar Race Course</t>
  </si>
  <si>
    <t>first published workout</t>
  </si>
  <si>
    <t>W-Del, Jul-16</t>
  </si>
  <si>
    <t>16/21</t>
  </si>
  <si>
    <t>I Ocamp</t>
  </si>
  <si>
    <t>O Delgado</t>
  </si>
  <si>
    <t>S Rose</t>
  </si>
  <si>
    <t>E Fogar</t>
  </si>
  <si>
    <t>R-Dmr, Jul-16</t>
  </si>
  <si>
    <t>2nd favorite; finished 3rd but the winner was disqualified and Smart Cookie was awarded 2nd place</t>
  </si>
  <si>
    <t>Races canceled -- weather</t>
  </si>
  <si>
    <t>I. I. Isayev</t>
  </si>
  <si>
    <t>MdSpWt [S] 2YO</t>
  </si>
  <si>
    <t>4YO filly</t>
  </si>
  <si>
    <t>16/19</t>
  </si>
  <si>
    <t>OH-bred had a 2nd workout</t>
  </si>
  <si>
    <t>1/31</t>
  </si>
  <si>
    <t>Graded stakes winner</t>
  </si>
  <si>
    <t>Nearly 3 full seconds better than the next best work was</t>
  </si>
  <si>
    <t>Nominated. Worked 5f in 0:58.40 on July 21  but not entered here. He won this race last year by 3-1/2 lengths when it was restricted to runners previously starting at Finger Lakes, opened up to all NY-breds this year</t>
  </si>
  <si>
    <t>M St. Julien</t>
  </si>
  <si>
    <t>Saratoga Race Course</t>
  </si>
  <si>
    <t>David J. Rose</t>
  </si>
  <si>
    <t>D Rose</t>
  </si>
  <si>
    <t>J Schneider</t>
  </si>
  <si>
    <t>J Núñez</t>
  </si>
  <si>
    <t>Jockey Susanne Rose was part of the Fegentri international amateur lady riders</t>
  </si>
  <si>
    <t>Jockey Elisa Fogar was part of the Fegentri international amateur lady riders</t>
  </si>
  <si>
    <t>A Salgado</t>
  </si>
  <si>
    <t>Earned Stakes-Placed status at Parx on 7/22/16. // Won on 4/4/16 but was disqualified and placed last because he was not a registered PA-bred. // Name claim submitted for "Smart Ash Mr D" but it was rejected (actually "refused")</t>
  </si>
  <si>
    <t>unraced 3YO gelding has moved to Woodbine from Finger Lakes</t>
  </si>
  <si>
    <t>2nd best, sub-36-second 3f breeze, off since March, has moved to Prairie Meadows</t>
  </si>
  <si>
    <t>5YO gelding</t>
  </si>
  <si>
    <t>9/13</t>
  </si>
  <si>
    <t>Sar</t>
  </si>
  <si>
    <t>35/85</t>
  </si>
  <si>
    <t>Monmouth Cup Stakes (G2) 3YO&amp;up</t>
  </si>
  <si>
    <t>John Morrissey Sakes [S] 3YO&amp;up</t>
  </si>
  <si>
    <t>Claimed by trainer Gary Contessa for owner Martin Harrigan</t>
  </si>
  <si>
    <t>MdCl35000 2YO</t>
  </si>
  <si>
    <t>R-RUS, Jul-16</t>
  </si>
  <si>
    <t>A Sumiyoshi</t>
  </si>
  <si>
    <t>T Yoshimura</t>
  </si>
  <si>
    <t>Sonoda Raceourse (JPN)</t>
  </si>
  <si>
    <t>bullet work from the gate; could mean 9YO GSP gelding is nearing a start</t>
  </si>
  <si>
    <t>L Lezcano</t>
  </si>
  <si>
    <t>K Dregits</t>
  </si>
  <si>
    <t>H Caballero</t>
  </si>
  <si>
    <t>Sold for AUS$14,533 at the Gold Coast National Broodmare Sale, May 2015. // Bought by Rheinwood Pastoral Co. for AUS$115,000 at the 2011 Australian Easter Broodmare Sale. // You Smarty Pants is in foal to Exceed and Excel, for the 2010 season. // Kristen Manning, of the Racing Australia website, reports that You Smarty Pants was last known to be working under one of Australia's leading trainers, Gai Waterhouse, but that she has yet to race or "trial." // Sold for $150,000 to Blue Sky Thoroughbreds at the 2008 Australian Weanling &amp; Breeding Stock Sale, consigned by Tyreel Stud. // Bought by Vin Cox on behalf of Tyreel Stud for $300,000 at the 2006 Keeneland November Breeding Stock Sale consigned by Bluegrass Thoroughbred Services as agent for Muller Farms). Cox described the weanling filly as a “lovely fluent mover that will develop into a lovely 3yo, the filly is a star, she is like a lot of the Smarty Jones foals with a little more leg than he himself. It is a great pedigree and hats off to Mr. Fleming, it is very exciting to have a Smarty Jones filly in Australia and the staff at Three Chimneys are thrilled that the Smarty’s are getting far and wide.” The filly will now head to Australia where she will be readied for racing, and upon retirement from the track will join the elite Tyreel broodmare band. // "The Til Forbid filly is really nice; she is a good size and pretty correct." (Mueller Farm manager Lee White)</t>
  </si>
  <si>
    <t>Clásico Ensaya (G3-URU) 3YO</t>
  </si>
  <si>
    <r>
      <rPr>
        <sz val="9"/>
        <rFont val="Wingdings"/>
        <charset val="2"/>
      </rPr>
      <t>t</t>
    </r>
    <r>
      <rPr>
        <sz val="9"/>
        <rFont val="Arial"/>
        <family val="2"/>
      </rPr>
      <t xml:space="preserve"> Isabel La Catolica-URU</t>
    </r>
  </si>
  <si>
    <t>Non-winners at HLP 4YO</t>
  </si>
  <si>
    <r>
      <rPr>
        <sz val="9"/>
        <rFont val="Wingdings"/>
        <charset val="2"/>
      </rPr>
      <t>t</t>
    </r>
    <r>
      <rPr>
        <sz val="9"/>
        <rFont val="Arial"/>
        <family val="2"/>
      </rPr>
      <t xml:space="preserve"> Ilinois-URU</t>
    </r>
  </si>
  <si>
    <t>J Lopez</t>
  </si>
  <si>
    <t>Juliana y Agustin</t>
  </si>
  <si>
    <t>2nd best, a faster time than last week's bullet (0:48.41, best of 13)</t>
  </si>
  <si>
    <t>F Guedes</t>
  </si>
  <si>
    <t>2nd best, right behind Mama Jones</t>
  </si>
  <si>
    <t>1/10</t>
  </si>
  <si>
    <t>19/25</t>
  </si>
  <si>
    <t>bumped on the turn with the winner, claim of foul disallowed</t>
  </si>
  <si>
    <t>R-FM, Jul-16</t>
  </si>
  <si>
    <t>to be on pace to reach $3.25 million for the year</t>
  </si>
  <si>
    <t>ML odds favorite (as coupled entry), scratched but re-entered for Saturday</t>
  </si>
  <si>
    <t>Louisiana Cup Turf Classic [S] 3YO&amp;up</t>
  </si>
  <si>
    <t>West Virginia House of Delegates Speakers Cup Stakes 3YO&amp;up</t>
  </si>
  <si>
    <t>West Virginia Governor's Stakes 3YO&amp;up</t>
  </si>
  <si>
    <t>Robelino Stakes [S] 3YO&amp;up</t>
  </si>
  <si>
    <t>Races canceled</t>
  </si>
  <si>
    <t>1/63</t>
  </si>
  <si>
    <t>28/37</t>
  </si>
  <si>
    <t>8/18</t>
  </si>
  <si>
    <t>first published work and it came from the gate</t>
  </si>
  <si>
    <t>Another lightning work</t>
  </si>
  <si>
    <t>17/23</t>
  </si>
  <si>
    <t>Smarties one-two at this distance here today; Mama Jones had been off since December</t>
  </si>
  <si>
    <t>R Santana, Jr.</t>
  </si>
  <si>
    <t>8/21</t>
  </si>
  <si>
    <r>
      <rPr>
        <sz val="9"/>
        <rFont val="Wingdings"/>
        <charset val="2"/>
      </rPr>
      <t>t</t>
    </r>
    <r>
      <rPr>
        <sz val="9"/>
        <rFont val="Arial"/>
        <family val="2"/>
      </rPr>
      <t xml:space="preserve"> Illinois-URU</t>
    </r>
  </si>
  <si>
    <t>R-Prx, Aug-16</t>
  </si>
  <si>
    <t>check</t>
  </si>
  <si>
    <t>Bred to Sky Mesa in 2016. // Racing out of Mike Puype's barn, May 2013. // Trained by Mike Mitchell, as of March 2013. // Bought by Tim McCrocklin, agent, for $15,000 at the 2011 Keeneland September Yearling Sale.</t>
  </si>
  <si>
    <t>Bred to Sky Mesa in 2016. // Withdrawn from the 2012 Keeneland September Sale.</t>
  </si>
  <si>
    <t>Queen's Point</t>
  </si>
  <si>
    <t>Pyramid Peak</t>
  </si>
  <si>
    <t>C Oliveres</t>
  </si>
  <si>
    <t>2nd favorite, claimed by trainer Kathleen Demasi for owner Pewter Stable</t>
  </si>
  <si>
    <r>
      <rPr>
        <sz val="9"/>
        <rFont val="Wingdings"/>
        <charset val="2"/>
      </rPr>
      <t>t</t>
    </r>
    <r>
      <rPr>
        <sz val="9"/>
        <rFont val="Arial"/>
        <family val="2"/>
      </rPr>
      <t xml:space="preserve"> Hot Pur-URU</t>
    </r>
  </si>
  <si>
    <r>
      <rPr>
        <sz val="9"/>
        <rFont val="Wingdings"/>
        <charset val="2"/>
      </rPr>
      <t>t</t>
    </r>
    <r>
      <rPr>
        <sz val="9"/>
        <rFont val="Arial"/>
        <family val="2"/>
      </rPr>
      <t xml:space="preserve"> Ivete Sangalo-URU</t>
    </r>
  </si>
  <si>
    <t>number of races for month (note: record is 130 races - In both June and July 2016)</t>
  </si>
  <si>
    <t>Horse</t>
  </si>
  <si>
    <t>Win</t>
  </si>
  <si>
    <t>turf work</t>
  </si>
  <si>
    <t>Bred to Flashback in 2016. // Withdrawn from the 2014 Fasig-Tipton Kentucky Winter Mixed Sale, as a broodmare prospect. // Offered but not sold ($19,000 high bid) at the Fasig-Tipton 2011 Kentucky Winter Mixed Sale. She was listed as a racing or broodmare prospect. // Offered at the 2009 OBS March Selected Sale of Two-Year-Olds in Training. A $195,000 final bid did not meet the reserve. // Offered at the 2008 Keeneland September Yearling Sale, consigned by Hiddenbrook, Agent. Reserve not attained at $100,000. // Ever Lasting is a multiple stakes winner of over $350K and the dam of stakes winner Ever After. She's half to two other stakes winners and she is inbred 3x4 to the blue hen Exclusive, the dam of Exclusive Native (who sired Affirmed, Genuine Risk, Outstandingly, etc.). So this filly is inbred 4x5 to Exclusive and also is inbred to Secretariat (which a good amount of Smarty's foals are and will be).</t>
  </si>
  <si>
    <t>According to her former trainer, Jennie Wilhelm, One Smart Philly "went to be a mommy!" in 2016… bred to Posse. // Claimed on October 3 but claim was voided after the race was run.</t>
  </si>
  <si>
    <t>R-Sar, Aug-16</t>
  </si>
  <si>
    <t>Randy P. and Nicole M. Brungard</t>
  </si>
  <si>
    <t>V Diaz</t>
  </si>
  <si>
    <t>J Farley</t>
  </si>
  <si>
    <t>J Felix</t>
  </si>
  <si>
    <t>2nd best, first work for Gary Contessa</t>
  </si>
  <si>
    <t>Bred to Soldat in 2016. // In February 2016, was vanned off after pulling up in late stretch and being eased across the wire. // Was vanned off after her win on January 31, 2015 but returned to the work tab in July 2015. // Debut winner by 5-1/2 lengths at Keeneland on October 13, 2013. // Bought in private sale for $8,000 by James C. Kirk at the 2011 Fasig-Tipton Eastern Fall Yearling Sale. // Bought by Chan Brooks for $5,000 at the 2010 Keeneland November Breeding Stock Sale.</t>
  </si>
  <si>
    <t>Active horses nearing earnings milestone</t>
  </si>
  <si>
    <t>AllOptCl12500 [S] 3YO&amp;up</t>
  </si>
  <si>
    <t>R-Pen, Aug-16</t>
  </si>
  <si>
    <t>32/46</t>
  </si>
  <si>
    <t>2/19</t>
  </si>
  <si>
    <t>2nd best, Smarty grandson, a gelding by Backtalk</t>
  </si>
  <si>
    <t>driving</t>
  </si>
  <si>
    <t>W-Btr, Aug-16</t>
  </si>
  <si>
    <t>D Bird</t>
  </si>
  <si>
    <t>M Fadlovich</t>
  </si>
  <si>
    <t>S Kawahara</t>
  </si>
  <si>
    <t>R-JPN, Aug-16</t>
  </si>
  <si>
    <t>Debut winner, August 6, 2016</t>
  </si>
  <si>
    <t>C Antunez</t>
  </si>
  <si>
    <t>Diego Antunez</t>
  </si>
  <si>
    <t>Md Allowance 3Yo</t>
  </si>
  <si>
    <t>R-HNM, Aug-16</t>
  </si>
  <si>
    <t>R-AP, Aug-16</t>
  </si>
  <si>
    <t>Retired in 2015</t>
  </si>
  <si>
    <t>Bred to Awzaan in 2015. // Mare serviced September 28, 2011.</t>
  </si>
  <si>
    <t>Bred to Ioya Bigtime in 2015.</t>
  </si>
  <si>
    <t>Martin P. Harrigan</t>
  </si>
  <si>
    <t>G Contessa</t>
  </si>
  <si>
    <t>Birdstone Stakes 3YO&amp;up</t>
  </si>
  <si>
    <t>F Wethy, Jr.</t>
  </si>
  <si>
    <t>R-HLP, Aug-16</t>
  </si>
  <si>
    <t>R-Pay, Aug-16</t>
  </si>
  <si>
    <t>R-Mnr, Aug-16</t>
  </si>
  <si>
    <t>Offered at the 2012 John Franks Memorial (Evangeline Downs) 2YO-in-Training Sale, but did not sell (RNA at $10,000). //  First 2YO with work tab in 2012</t>
  </si>
  <si>
    <t>Four Friends</t>
  </si>
  <si>
    <t>Non-winners at HNM 4YO&amp;up</t>
  </si>
  <si>
    <r>
      <rPr>
        <sz val="9"/>
        <rFont val="Wingdings"/>
        <charset val="2"/>
      </rPr>
      <t>t</t>
    </r>
    <r>
      <rPr>
        <sz val="9"/>
        <rFont val="Arial"/>
        <family val="2"/>
      </rPr>
      <t xml:space="preserve"> Traveller-URU</t>
    </r>
  </si>
  <si>
    <t>Caraguatá</t>
  </si>
  <si>
    <t>A Mederos</t>
  </si>
  <si>
    <t>El Chuy</t>
  </si>
  <si>
    <r>
      <rPr>
        <sz val="9"/>
        <rFont val="Wingdings"/>
        <charset val="2"/>
      </rPr>
      <t>t</t>
    </r>
    <r>
      <rPr>
        <sz val="9"/>
        <rFont val="Arial"/>
        <family val="2"/>
      </rPr>
      <t xml:space="preserve"> Indy Jones-URU</t>
    </r>
  </si>
  <si>
    <t>69/72</t>
  </si>
  <si>
    <t>1/72</t>
  </si>
  <si>
    <t>unraced 3YO colt</t>
  </si>
  <si>
    <t>unraced 3YO filly</t>
  </si>
  <si>
    <t>Cl3500 3YO&amp;up</t>
  </si>
  <si>
    <t>Had a filly by Yes It's True in 2016. // Sold for $43,000 to Montese LLC at the 2015 Keeneland November Sale, in foal to Yes It's True. // Had a Scat Daddy filly in 2015, which sold for $205,000 at the 2015 Keeneland November Sale. The filly then sold for $285,000 at the F-T Saratoga Sale for $285.000 to Jadeskye Racing (Australia). // Bred to Flower Alley in 2013. // Bred to Yes It's True in 2010. // Retired to breeding in 2010. // As of July 2009, MAMJ is at Three Chimneys, recovering from a bone chip that was taken out by Larry Bramladge. She was supposed to race this summer, but the chip pushed her debut back until the fall. Case Clay, president of Three Chimneys, said that she could run. She will be running under Pletcher. // Removed from the 2009 Keeneland January Horses of All Ages Sale. // Me and Miss Jones is in training at Belmont Park under Todd Pletcher as of July 2008. // Withdrawn from the 2007 Saratoga Selected Yearlings Sale, consigned by Three Chimneys Farm. // This big, strong filly, which weighs 134 pounds, is a "really grand looking foal, very good size, leggy, good length, very good presence, great advertisement for the stallion," according to Stonerside manager Bobby Spalding.</t>
  </si>
  <si>
    <t>#3620, unnamed, 2015 filly, Smarty Jones - Colleen's Scorpion, 2016 Keeneland September Sale, September 23</t>
  </si>
  <si>
    <t>#889, Haraka, 2015 Medaglia d'Oro filly o/o Kiddari, 2016 Keeneland September Sale, September 16</t>
  </si>
  <si>
    <t>#1132, unnamed 2015 Super Saver colt o/o Be Smart, 2016 Keeneland September Sale, September 17</t>
  </si>
  <si>
    <t>#1564, unnamed 2015 Kitten's Joy filly o/o Betty's Baroness, 2016 Keeneland September Sale, September 18</t>
  </si>
  <si>
    <t>#1691, unnamed 2015 Street Cry-IRE filly o/o Jelani, 2016 Keeneland September Sale, September 18</t>
  </si>
  <si>
    <t>#2400, unnamed 2015 Sky Mesa colt o/o Cash Finance, 2016 Keeneland September Sale, September 20</t>
  </si>
  <si>
    <t>#2805, Willie Ever Live, 2015 Tale of the Cat colt o/o Corporate Smarty, 2016 Keeneland September Sale, September 21</t>
  </si>
  <si>
    <t>#3852, Tiz Smart, 2015 Tiz Wonderful colt o/o Reproduction, 2016 Keeneland September Sale, September 23</t>
  </si>
  <si>
    <t>#4093, unnamed 2015 Fort Larned filly o/o Jones Zing, 2016 Keeneland September Sale, September 24</t>
  </si>
  <si>
    <t>#4379, Smartys Slew R V F, 2015 filly, Smarty Jones - Itaka's Brianna, 2016 Keeneland September Sale, September 25</t>
  </si>
  <si>
    <t>Cl12000 3YO&amp;up</t>
  </si>
  <si>
    <t>W-Prx, Aug-16</t>
  </si>
  <si>
    <t>Sha Tin Racecourse (HK)</t>
  </si>
  <si>
    <t>running line, 12-11-4-2</t>
  </si>
  <si>
    <t>J Peña</t>
  </si>
  <si>
    <t>N Hernández</t>
  </si>
  <si>
    <t>Gillespie County Fairground</t>
  </si>
  <si>
    <t>A Ali</t>
  </si>
  <si>
    <t>L Ruiz</t>
  </si>
  <si>
    <t>Israel Flores Horses LLC</t>
  </si>
  <si>
    <t>E Rivera</t>
  </si>
  <si>
    <t>R Beattie</t>
  </si>
  <si>
    <t>S Seo</t>
  </si>
  <si>
    <t>Class-4 Handicap 3YO&amp;up</t>
  </si>
  <si>
    <t>S Russell</t>
  </si>
  <si>
    <t>turf work, Holidaysatthefarm gelding by Artie Schiller</t>
  </si>
  <si>
    <t>claimed out this race by new trainer Ray Ashford, Jr. for owner Arden Hawkins</t>
  </si>
  <si>
    <t>W-WO, Aug-16</t>
  </si>
  <si>
    <t>Sean Kessler</t>
  </si>
  <si>
    <t>F Ferreira</t>
  </si>
  <si>
    <t>66/70</t>
  </si>
  <si>
    <t>7/61</t>
  </si>
  <si>
    <t>1/36</t>
  </si>
  <si>
    <t>S-HLP, Aug-16</t>
  </si>
  <si>
    <r>
      <rPr>
        <strike/>
        <sz val="9"/>
        <rFont val="Wingdings"/>
        <charset val="2"/>
      </rPr>
      <t>t</t>
    </r>
    <r>
      <rPr>
        <strike/>
        <sz val="9"/>
        <rFont val="Arial"/>
        <family val="2"/>
      </rPr>
      <t xml:space="preserve"> Harvest-URU</t>
    </r>
  </si>
  <si>
    <t>S-Mel, Aug-16</t>
  </si>
  <si>
    <t>V testerman</t>
  </si>
  <si>
    <t>J Burton</t>
  </si>
  <si>
    <t>Gillespie County</t>
  </si>
  <si>
    <t>Matthew Schera</t>
  </si>
  <si>
    <t>claimed out of this race by trainer Lacey Gaudet for owner Matthew Schera</t>
  </si>
  <si>
    <t>Mister Diz Stakes [S] 3YO&amp;up</t>
  </si>
  <si>
    <t>E Suárez</t>
  </si>
  <si>
    <t>Todo Legal</t>
  </si>
  <si>
    <t>C Baltrons</t>
  </si>
  <si>
    <t>2016 Australian Thoroughbred Sale - Friday, August 19</t>
  </si>
  <si>
    <t>3rd AE, scratched</t>
  </si>
  <si>
    <t>MdCl25000 2YO</t>
  </si>
  <si>
    <t>Monster Racing Stable</t>
  </si>
  <si>
    <t>J Ferrer</t>
  </si>
  <si>
    <t>AllOptCl20000 3YO&amp;up</t>
  </si>
  <si>
    <t>Withdrawn from the 2015 OBS June 2YOs and Horses of Racing Age Sale. // Bought by David Adams for CAN$20,000 (US$18367) at the 2014 CTHS September Yearling Sale. // Broodmare (in foal to Smarty) sold at the 2012 Ontario December Sale for $2,226</t>
  </si>
  <si>
    <t>Genessee Valley Breeders Stakes 3YO&amp;up</t>
  </si>
  <si>
    <t>MTO, ran on Saturday in the Mister Diz Stakes</t>
  </si>
  <si>
    <r>
      <rPr>
        <strike/>
        <sz val="9"/>
        <rFont val="Wingdings"/>
        <charset val="2"/>
      </rPr>
      <t>t</t>
    </r>
    <r>
      <rPr>
        <strike/>
        <sz val="9"/>
        <rFont val="Arial"/>
        <family val="2"/>
      </rPr>
      <t xml:space="preserve"> El Cardo Rubio-URU</t>
    </r>
  </si>
  <si>
    <t>R-Mth, Aug-16</t>
  </si>
  <si>
    <t>Sold for AU$6,500 (US$4,957) to D. Giltanin at the 2016 Australian Thoroughbred Sale, in foal to Reward For Effort. // Sold for sold for AUS$6,500 (US$5,000) at the 2016 Australian Broodmare Sale in May 2016. // She has a 2011 gelding (Smart Miner) by Mineshaft, a 2012 colt (All Kill) by Flying Spur racing in Korea, a 2013 colt by Street Sense, a 2014 filly by Skilled, and a 2015 filly by War. She went to Reward For Effort in 2015. // Exported to Australia as a broodmare. // Bought by John Kenneally for $12,000 at the 2010 Keeneland November Breeding Stock Sale. In foal to Mineshaft. // "A really big filly, a beautiful leggy foal." (Andre Regard) // Offered Keeneland September Yearling Sale, consigned by Occidental Thoroughbreds. Withdrawn from sale. // Oedy's Appeal (in foal to Smarty Jones) was offered at the 2005 Keeneland November Breeding Stock Sale; reserve not attained.</t>
  </si>
  <si>
    <t>11/18</t>
  </si>
  <si>
    <t>13/37</t>
  </si>
  <si>
    <t>8/37</t>
  </si>
  <si>
    <t>16/29</t>
  </si>
  <si>
    <t>W-Lrl, Aug-16</t>
  </si>
  <si>
    <t>8/20</t>
  </si>
  <si>
    <t>2/21</t>
  </si>
  <si>
    <t>ML odds favorite, claimed by trainer Joeseph Delozier for owner Flying Pheasant Farm</t>
  </si>
  <si>
    <t>12/32</t>
  </si>
  <si>
    <t>E Barbosa</t>
  </si>
  <si>
    <r>
      <rPr>
        <strike/>
        <sz val="9"/>
        <rFont val="Wingdings"/>
        <charset val="2"/>
      </rPr>
      <t>t</t>
    </r>
    <r>
      <rPr>
        <strike/>
        <sz val="9"/>
        <rFont val="Arial"/>
        <family val="2"/>
      </rPr>
      <t xml:space="preserve"> Hessenheffer-URU</t>
    </r>
  </si>
  <si>
    <t>scratch, 2nd favorite</t>
  </si>
  <si>
    <t>31/61</t>
  </si>
  <si>
    <t>Assumed retired on the basis of three years inactivity dating back to August 2013. // Sold privately to Jared Brown in December 2011. // Broodmare Lady Cheyne (in foal to Corinthian) was bought by Patricia Chapman for $80,000 at the 2008 Keeneland November Breeding Stock Sale. // Bought by Dr. Derek Paul for $20,000 at the 2008 Keeneland September Yearling Sale, consigned by Royal Oak Farm (Damian and Braxton Lynch), Agent. // Lady Cheyne is a stakes placed young daughter of Affirmed whose dam is half to three stakes horses and also to the dam of G1 winner Chelsey Flower.</t>
  </si>
  <si>
    <t>Winning Move Stable</t>
  </si>
  <si>
    <t>Evan Shipman Stakes [S] 3YO&amp;up</t>
  </si>
  <si>
    <t>El Lito</t>
  </si>
  <si>
    <t>A Silm</t>
  </si>
  <si>
    <r>
      <rPr>
        <sz val="9"/>
        <rFont val="Wingdings"/>
        <charset val="2"/>
      </rPr>
      <t>t</t>
    </r>
    <r>
      <rPr>
        <sz val="9"/>
        <rFont val="Arial"/>
        <family val="2"/>
      </rPr>
      <t xml:space="preserve"> Instagram-URU</t>
    </r>
  </si>
  <si>
    <t>Haga Correr</t>
  </si>
  <si>
    <t>J Cuitiño</t>
  </si>
  <si>
    <r>
      <rPr>
        <sz val="9"/>
        <rFont val="Wingdings"/>
        <charset val="2"/>
      </rPr>
      <t>t</t>
    </r>
    <r>
      <rPr>
        <sz val="9"/>
        <rFont val="Arial"/>
        <family val="2"/>
      </rPr>
      <t xml:space="preserve"> Princesita-URU</t>
    </r>
  </si>
  <si>
    <t>El Portugués</t>
  </si>
  <si>
    <t>L Mesa</t>
  </si>
  <si>
    <t>2016 Keeneland September Sale - Friday, September 23</t>
  </si>
  <si>
    <t>Hip #3620 at the 2016 Keeneland September Sale. // Withdrawn from the 2016 Keeneland January Sale. The mare, Colleen's Scorpion (in foal to English Channel), was offered but did not sell (RNA at $27,000).  // Colleen's Scorpion is an unraced mare by Scorpion (a son of Seattle Slew) and she is the dam of multiple stakes placed and $300K+ earner, Colleen's Sailor.</t>
  </si>
  <si>
    <t>Several names submitted but rejected as too similar to a name already registered: Del Prado (on 6/30/16), Prado (on 7/28/16), and Astrum (on 8/6/16). // Offered but did not sell (RNA at $9,500) at the 2015 F-T Kentucky Fall Yearling Sale</t>
  </si>
  <si>
    <t>G Maciel</t>
  </si>
  <si>
    <t>M Bentancor</t>
  </si>
  <si>
    <t>A Araújo</t>
  </si>
  <si>
    <t>G Núñez</t>
  </si>
  <si>
    <t>L Garcia</t>
  </si>
  <si>
    <t>First stakes win for horse, trainer, and jockey</t>
  </si>
  <si>
    <t>L Gularte</t>
  </si>
  <si>
    <t>Dardo</t>
  </si>
  <si>
    <t>A Santos</t>
  </si>
  <si>
    <t>MdCl16000 2YO</t>
  </si>
  <si>
    <t>2nd AE, scratched</t>
  </si>
  <si>
    <t>R-Pid, Aug-16</t>
  </si>
  <si>
    <t>4/38</t>
  </si>
  <si>
    <t>4/15</t>
  </si>
  <si>
    <t>Moved from the training center to Parx, 2nd gate work</t>
  </si>
  <si>
    <t>10/13</t>
  </si>
  <si>
    <t>W-Del, Aug-16</t>
  </si>
  <si>
    <t>17/19</t>
  </si>
  <si>
    <t>6/9</t>
  </si>
  <si>
    <t>Off since April, has moved tack to Delaware Park</t>
  </si>
  <si>
    <t>16/30</t>
  </si>
  <si>
    <t>Both had reasonable works this week after several weeks of speedy bullets</t>
  </si>
  <si>
    <t>S-HNM, Aug-16</t>
  </si>
  <si>
    <t>Stakes Placed as of 4/2/16. // Removed from the 2011 OBS April Sale of 2YOs in Training. // Offered at the 2009 Keeneland November Breeding Stock Sale, but was RNA at $6,000.  // Broodmare Lake Champlain was bought by Laughing Stock for $65,000 at the 2008 Keeneland November Breeding Stock Sale, mated to Smarty Jones, last service May 14, 2008 (believed to be PREGNANT).</t>
  </si>
  <si>
    <t>Stakes-placed in his last race, has been off since April, has moved tack to Penn National</t>
  </si>
  <si>
    <t>Stakes Placed, as of 4/23/16. // First name claim, "Scy," was rejected as too similar to an existing name ("Sky")</t>
  </si>
  <si>
    <t>Multiple Stakes-Placed, as of 4/23/16</t>
  </si>
  <si>
    <t>Stakes Winner as of 11/12/15. // Set track record for 1-1/4 Miles at Finger Lakes on November 5, 2014.</t>
  </si>
  <si>
    <t>Graded Stakes Winner, as of 7/2/16. // Res Judicata was injured during morning workouts on September 20, 2014 when he was broad-sided by a runaway horse; there were no broken bones but he will surely be off for a while. // Res Judicata ended 2013 with a win in the $100,000 City of Laurel Stakes, after which John Servis said he'd give Res Judicata time off before bringing him back in 2014. // Debut winner on July 12 at Penn National</t>
  </si>
  <si>
    <t>Graded Stakes Winner as of 8/11/12. // Entered in the 2013 Breeders Cup Marathon. // In November 2012, OTH was sent to the Florida farm for R&amp;R over the winter, but will return to the west coast in the spring. // Word is that they've moved OTH in April 2012 to the west coast to run there.</t>
  </si>
  <si>
    <t>Stakes Winner as of 8/20/16. // Name, "John Jones" was submitted on June 10 (2013) and rejected June 11 due to personal name permission rules. The name was resubmitted on June 17 and approved.</t>
  </si>
  <si>
    <t xml:space="preserve">Mulitple Stakes Winner as of </t>
  </si>
  <si>
    <t>Mulitple Stakes Winner as of 2/6/16.</t>
  </si>
  <si>
    <t>Stakes Placed as of 4/2/16.</t>
  </si>
  <si>
    <t>Stakes Placed as of 4/9/16</t>
  </si>
  <si>
    <t>Stakes Winner as of 5/14/16</t>
  </si>
  <si>
    <t>Stkes Placed as of 6/12/16</t>
  </si>
  <si>
    <t>Stakes Placed in debut on 6/12/16</t>
  </si>
  <si>
    <t>Stakes Placed as of 11/22/14.</t>
  </si>
  <si>
    <t>Stakes Winner as of 12/19/15.Mare serviced August 13, 2011.</t>
  </si>
  <si>
    <t>Multiple Stakes Placed as of 2/15/15. // Debut winner. // Smarty's first Southern Hemispere foal to be entered to race and the first to win. // Mare serviced November 2, 2011.</t>
  </si>
  <si>
    <t xml:space="preserve">Stakes Placed as of 12/27/15. </t>
  </si>
  <si>
    <t>Debut Winner</t>
  </si>
  <si>
    <t>Columbus Fair</t>
  </si>
  <si>
    <t>4/47</t>
  </si>
  <si>
    <t xml:space="preserve">sub-48-second 4f </t>
  </si>
  <si>
    <t>I Ortiz, Jr.</t>
  </si>
  <si>
    <t>Kazden Racing Stables (Alex Kazdan)</t>
  </si>
  <si>
    <t>H Gaffney</t>
  </si>
  <si>
    <t>D Cora</t>
  </si>
  <si>
    <t>Backtalk gelding</t>
  </si>
  <si>
    <t>1/19</t>
  </si>
  <si>
    <t>Unraced 3YO gelding has another gate work, moved tack from Woodbine to Finger Lakes</t>
  </si>
  <si>
    <t>entered to race on 8/31 at Saratoga</t>
  </si>
  <si>
    <t>Unnamed o/o Halle's Aptitude</t>
  </si>
  <si>
    <t>19/20</t>
  </si>
  <si>
    <t>2YO gelding, first published work</t>
  </si>
  <si>
    <t>25/28</t>
  </si>
  <si>
    <t>W-Mth, Aug-16</t>
  </si>
  <si>
    <t>Off six weeks</t>
  </si>
  <si>
    <t>Smarty's first winner from the 2014 foal crop</t>
  </si>
  <si>
    <t>R-Tim, Aug-16</t>
  </si>
  <si>
    <r>
      <rPr>
        <strike/>
        <sz val="9"/>
        <rFont val="Wingdings"/>
        <charset val="2"/>
      </rPr>
      <t>t</t>
    </r>
    <r>
      <rPr>
        <strike/>
        <sz val="9"/>
        <rFont val="Arial"/>
        <family val="2"/>
      </rPr>
      <t xml:space="preserve"> Just Kidding-URU</t>
    </r>
  </si>
  <si>
    <t>R-Evd, Aug-16</t>
  </si>
  <si>
    <t>Returned from eight weeks off</t>
  </si>
  <si>
    <t>W-GP, Aug-16</t>
  </si>
  <si>
    <t>20/20</t>
  </si>
  <si>
    <t>2nd favorite as coupled entry</t>
  </si>
  <si>
    <t>Terry Judge</t>
  </si>
  <si>
    <t>R Tracy, Jr.</t>
  </si>
  <si>
    <t>D Velasquez</t>
  </si>
  <si>
    <t>Canterbury Park</t>
  </si>
  <si>
    <t>R-Cls, Aug-16</t>
  </si>
  <si>
    <t>R-Gil, Aug-16</t>
  </si>
  <si>
    <t>MdCl18000 3YO&amp;up</t>
  </si>
  <si>
    <t>Sar-t</t>
  </si>
  <si>
    <t>turf workout</t>
  </si>
  <si>
    <t>Columbus</t>
  </si>
  <si>
    <r>
      <rPr>
        <sz val="9"/>
        <rFont val="Wingdings"/>
        <charset val="2"/>
      </rPr>
      <t>t</t>
    </r>
    <r>
      <rPr>
        <sz val="9"/>
        <rFont val="Arial"/>
        <family val="2"/>
      </rPr>
      <t xml:space="preserve"> Havana Cuba-URU</t>
    </r>
  </si>
  <si>
    <t>Ceibo Blanco</t>
  </si>
  <si>
    <t>D Stengone</t>
  </si>
  <si>
    <t>Clásico Gran Premio Polla de Potrancos (G1-URU) 3YO</t>
  </si>
  <si>
    <t>Clásico Gran Premio Polla de Potrillos (G1-URU) 3YO</t>
  </si>
  <si>
    <t>Handicap Especial Mexico 4YO&amp;up</t>
  </si>
  <si>
    <r>
      <rPr>
        <sz val="9"/>
        <rFont val="Wingdings"/>
        <charset val="2"/>
      </rPr>
      <t>t</t>
    </r>
    <r>
      <rPr>
        <sz val="9"/>
        <rFont val="Arial"/>
        <family val="2"/>
      </rPr>
      <t xml:space="preserve"> Smarty Baby-URU</t>
    </r>
  </si>
  <si>
    <t>E-HNM, Sep-16</t>
  </si>
  <si>
    <t>J Bridgmohan</t>
  </si>
  <si>
    <t>Cl12500 [S] 3YO&amp;up</t>
  </si>
  <si>
    <t>First leg of Uruguay Filly Triple Crown</t>
  </si>
  <si>
    <t>AllOptCl625000 3YO&amp;up</t>
  </si>
  <si>
    <t>F Duarte</t>
  </si>
  <si>
    <t>SEPTEMBER</t>
  </si>
  <si>
    <t>SEPTEMBER GOAL</t>
  </si>
  <si>
    <t>Arden Hawkins</t>
  </si>
  <si>
    <t>H Ashford, Jr.</t>
  </si>
  <si>
    <t>A Juarez, Jr.</t>
  </si>
  <si>
    <t>StOpCl16000 3YO&amp;up</t>
  </si>
  <si>
    <t>AllOptCl62500 3YO&amp;up</t>
  </si>
  <si>
    <t>2nd favorite; cross-entered for 9/5 at Delaware Park; claimed out of this race by trainer Alfredo Velasquez for owner Charles Orfe</t>
  </si>
  <si>
    <t>R-Pen, Sep-16</t>
  </si>
  <si>
    <t>Labor Day Thoroughbred Claiming Stakes 3YO&amp;p</t>
  </si>
  <si>
    <t>7/17</t>
  </si>
  <si>
    <t>8/32</t>
  </si>
  <si>
    <t>11/19</t>
  </si>
  <si>
    <t>13/17</t>
  </si>
  <si>
    <t>2nd best, ran on Saturday and finished…</t>
  </si>
  <si>
    <t>off six weeks</t>
  </si>
  <si>
    <t>Off since racing in June</t>
  </si>
  <si>
    <t>S-Pen, Sep-16</t>
  </si>
  <si>
    <t>W-LARC, Sep-16</t>
  </si>
  <si>
    <t>R Beattie, Jr.</t>
  </si>
  <si>
    <t>Glockenburg LC</t>
  </si>
  <si>
    <t>P Vaschenko</t>
  </si>
  <si>
    <t>10/10</t>
  </si>
  <si>
    <t>entered to race on 9/6 at Mountaineer</t>
  </si>
  <si>
    <t>R-Tim, Sep-16</t>
  </si>
  <si>
    <t>ML odds favorite, claimed by trainer Sam Di Pasquale for new owner Rainbow Stables</t>
  </si>
  <si>
    <t>scracthed, cross-entered for Sunday</t>
  </si>
  <si>
    <t>1st AE, scratched</t>
  </si>
  <si>
    <t>R-Prx, Sep-16</t>
  </si>
  <si>
    <t>Banjo Picker Sprint Stakes [S] 3YO&amp;up</t>
  </si>
  <si>
    <t>Showed early speed, led by as much as 5 lengths in the backstretch</t>
  </si>
  <si>
    <t>R-HNM, Sep-16</t>
  </si>
  <si>
    <t>R-AP, Sep-16</t>
  </si>
  <si>
    <t>1/21</t>
  </si>
  <si>
    <t>21/40</t>
  </si>
  <si>
    <t>W-CT, Sep-16</t>
  </si>
  <si>
    <t>unraced 4YO filly hadbeen off six weeks</t>
  </si>
  <si>
    <t>17/40</t>
  </si>
  <si>
    <t>37/50</t>
  </si>
  <si>
    <r>
      <rPr>
        <strike/>
        <sz val="9"/>
        <rFont val="Wingdings"/>
        <charset val="2"/>
      </rPr>
      <t>t</t>
    </r>
    <r>
      <rPr>
        <strike/>
        <sz val="9"/>
        <rFont val="Arial"/>
        <family val="2"/>
      </rPr>
      <t xml:space="preserve"> Ivete Sangalo-URU</t>
    </r>
  </si>
  <si>
    <t>2nd favorite, claimed out of this race by trainer Kieran Magee for owner Helen Marshall</t>
  </si>
  <si>
    <t>R-Sar, Sep-16</t>
  </si>
  <si>
    <t>ML odds favorite, claimed by trainer Lester Stickler for owner Bush Racing Stable</t>
  </si>
  <si>
    <t>R-HLP, Sep-16</t>
  </si>
  <si>
    <t>DTHA Governors Day Handicap [R] 3YO&amp;up</t>
  </si>
  <si>
    <t>Laurel Dash Stakes [L] 3YO&amp;up</t>
  </si>
  <si>
    <t>MdCl12500 3YO&amp;up</t>
  </si>
  <si>
    <t>R-Asd, Sep-16</t>
  </si>
  <si>
    <t>C Villasana</t>
  </si>
  <si>
    <t>Entered for $5,000 tag; claimed out of this race by trainer Justin Evans for owners Jackie and Sylvia Herron</t>
  </si>
  <si>
    <t>R López</t>
  </si>
  <si>
    <t>W-Bel, Sep-16</t>
  </si>
  <si>
    <t>R-Cby, Sep-16</t>
  </si>
  <si>
    <t>S-Prx, Sep-16</t>
  </si>
  <si>
    <t>R-Lrl, Sep-16</t>
  </si>
  <si>
    <t>R-Mel, Sep-16</t>
  </si>
  <si>
    <t>R-ELP, Sep-16</t>
  </si>
  <si>
    <t>R-Pan, Sep-16</t>
  </si>
  <si>
    <t>R-Pid, Sep-16</t>
  </si>
  <si>
    <t xml:space="preserve">Stakes Placed, as of 9/5/16. // Bought by Deerfield Farm Racing for $1,500 at the Keeneland November Sale. </t>
  </si>
  <si>
    <t>R-Mnr, Sep-16</t>
  </si>
  <si>
    <t>R-Del, Sep-16</t>
  </si>
  <si>
    <t>R-Btr, Sep-16</t>
  </si>
  <si>
    <t>E-Pid, Sep-16</t>
  </si>
  <si>
    <t>scratched as AE</t>
  </si>
  <si>
    <t>N Martinez</t>
  </si>
  <si>
    <t xml:space="preserve">Stakes Placed as of 3/19/16. // Mare serviced August 25, 2011. </t>
  </si>
  <si>
    <t>Clásico Meseta de Artigas 4YO&amp;up</t>
  </si>
  <si>
    <t>ML odds favorite as coupled entry</t>
  </si>
  <si>
    <t>S Lee</t>
  </si>
  <si>
    <t>Nominated; race moved to September</t>
  </si>
  <si>
    <t>Presque Isle Mile 3YO&amp;up</t>
  </si>
  <si>
    <t>scratched as 1st AE</t>
  </si>
  <si>
    <t>Off since May</t>
  </si>
  <si>
    <t>Hardy Racing Stables LLC</t>
  </si>
  <si>
    <t>Claimed by trainer Jeff Engler and owner Average Joe Racing Stables</t>
  </si>
  <si>
    <t>R-Btp, Sep-16</t>
  </si>
  <si>
    <t>Jackie and Sylvia Herron</t>
  </si>
  <si>
    <t>J Evans</t>
  </si>
  <si>
    <t>J Carreno</t>
  </si>
  <si>
    <t>E-Zia, Sep-16</t>
  </si>
  <si>
    <t>R-KOR, Sep-16</t>
  </si>
  <si>
    <t>scratched as AE yesterday, got this one in a day later</t>
  </si>
  <si>
    <t>32/35</t>
  </si>
  <si>
    <t>10/19</t>
  </si>
  <si>
    <t>W-Del, Sep-16</t>
  </si>
  <si>
    <t>Pr</t>
  </si>
  <si>
    <t>sub 36-second 3f breeze</t>
  </si>
  <si>
    <t>six furlong breeze</t>
  </si>
  <si>
    <t>W-FH, Sep-16</t>
  </si>
  <si>
    <t>Silver Echo</t>
    <phoneticPr fontId="4" type="noConversion"/>
  </si>
  <si>
    <t>Eastern Echo</t>
    <phoneticPr fontId="4" type="noConversion"/>
  </si>
  <si>
    <t>Northwest Farms LLC</t>
    <phoneticPr fontId="4" type="noConversion"/>
  </si>
  <si>
    <t xml:space="preserve">Entered in the 2013 Breeders Cup Juvenile. // Bought by Pete Reiman for $45,000 at the 2012 Fasig-Tipton July Sale. // Bought by Gojo Bloodstock for $15,000 at the Keeneland November Sale. </t>
  </si>
  <si>
    <t>W-CD, Jun-16</t>
  </si>
  <si>
    <t>W-Ing, Sep-16</t>
  </si>
  <si>
    <t>Ing</t>
  </si>
  <si>
    <t>Bred back to Henny Hughes in 2016. // Bred to Henny Hughes in 2015 and had a filly in 2016. // Had a Deep Impact colt in 2015, named Keiai Nautique, who will stay in Japan. // Bred to Deep Impact in 2013 and 2014. // Officially retired after winning the Grade 3 (JPN) Capella Stakes in December 2011. // Keiai Gerbera returned to working out in June 2011. // Keiai Gerbera returned to working out in April 2009. // Developed leg soreness after a workout in February 2009 and was given time off. // Debut winner. // Foaled in Japan. // Anna Sterz (in foal to Smarty Jones) was bought for $300,000 by Yushun Company (Kameda) at the 2005 Keeneland November Breeding Stock Sale.</t>
  </si>
  <si>
    <t>E-Prx, Sep-16</t>
  </si>
  <si>
    <t>W-Pen, Sep-16</t>
  </si>
  <si>
    <t>S-HLP, Sep-16</t>
  </si>
  <si>
    <t>Clásico Criadores Nacionales (G3-URU) 3YO</t>
  </si>
  <si>
    <t>R-GP, Sep-16</t>
  </si>
  <si>
    <t>John Royer</t>
  </si>
  <si>
    <t>D Matthews</t>
  </si>
  <si>
    <t>O Hernandez</t>
  </si>
  <si>
    <t>Maury and Leslie Harrington</t>
  </si>
  <si>
    <t>J Foster</t>
  </si>
  <si>
    <t>ML odds favorite, claimed out of this race by trainer Joseph Foster for owners Maury and Leslie Harrington</t>
  </si>
  <si>
    <t>E-Lrl, Sep-16</t>
  </si>
  <si>
    <t>Flying Pheasant Farm LLC</t>
  </si>
  <si>
    <t>ML odds favorite, claimed by trainer Henry Dominguez for owner Solitaire Stable</t>
  </si>
  <si>
    <t>30/81</t>
  </si>
  <si>
    <t>10/18</t>
  </si>
  <si>
    <t>12/16</t>
  </si>
  <si>
    <t>10/29</t>
  </si>
  <si>
    <t>19/21</t>
  </si>
  <si>
    <t>W-Pmm, Sep-16</t>
  </si>
  <si>
    <t>turf work (dogs up), had been off since last racing in June</t>
  </si>
  <si>
    <t>2nd best, 2nd gate work</t>
  </si>
  <si>
    <t>W-CD, Sep-16</t>
  </si>
  <si>
    <t>off since July, moved tack from Charles Town to Churchill Downs</t>
  </si>
  <si>
    <t>R-Bel, Sep-16</t>
  </si>
  <si>
    <t>R-Pay, Sep-16</t>
  </si>
  <si>
    <t>S-HNM, Sep-16</t>
  </si>
  <si>
    <t>J Delozier III</t>
  </si>
  <si>
    <t>K Francois</t>
  </si>
  <si>
    <t>W-Tdn, Sep-16</t>
  </si>
  <si>
    <t>R-LAD, Sep-16</t>
  </si>
  <si>
    <t>R-WO, Sep-16</t>
  </si>
  <si>
    <t>R-Mth, Sep-16</t>
  </si>
  <si>
    <t>P Fragoso</t>
  </si>
  <si>
    <t>E-Bel, Sep-16</t>
  </si>
  <si>
    <t>E-CT, Sep-16</t>
  </si>
  <si>
    <t>Charles Orfe</t>
  </si>
  <si>
    <t>A Velasquez</t>
  </si>
  <si>
    <t>Updated: 9/18/16</t>
  </si>
  <si>
    <t>Updated: September 18,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</si>
</sst>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164" formatCode="&quot;$&quot;#,##0"/>
    <numFmt numFmtId="165" formatCode="0.0"/>
    <numFmt numFmtId="166" formatCode="mm:ss.00"/>
    <numFmt numFmtId="167" formatCode="m:ss.00"/>
    <numFmt numFmtId="168" formatCode="[$-409]d\-mmm\-yy;@"/>
    <numFmt numFmtId="169" formatCode="_([$$-409]* #,##0_);_([$$-409]* \(#,##0\);_([$$-409]* &quot;-&quot;??_);_(@_)"/>
    <numFmt numFmtId="170" formatCode="&quot;$&quot;#,##0;[Red]&quot;$&quot;#,##0"/>
    <numFmt numFmtId="171" formatCode="_([$$-409]* #,##0.00_);_([$$-409]* \(#,##0.00\);_([$$-409]* &quot;-&quot;??_);_(@_)"/>
    <numFmt numFmtId="172" formatCode="0.0%"/>
  </numFmts>
  <fonts count="32" x14ac:knownFonts="1">
    <font>
      <sz val="10"/>
      <name val="Arial"/>
    </font>
    <font>
      <sz val="10"/>
      <name val="Arial"/>
      <family val="2"/>
    </font>
    <font>
      <sz val="8"/>
      <name val="Arial"/>
      <family val="2"/>
    </font>
    <font>
      <b/>
      <sz val="10"/>
      <name val="Arial"/>
      <family val="2"/>
    </font>
    <font>
      <sz val="8"/>
      <name val="Verdana"/>
      <family val="2"/>
    </font>
    <font>
      <b/>
      <sz val="7"/>
      <color rgb="FF006600"/>
      <name val="Arial"/>
      <family val="2"/>
    </font>
    <font>
      <u/>
      <sz val="10"/>
      <color theme="10"/>
      <name val="Arial"/>
      <family val="2"/>
    </font>
    <font>
      <u/>
      <sz val="10"/>
      <color theme="11"/>
      <name val="Arial"/>
      <family val="2"/>
    </font>
    <font>
      <sz val="9"/>
      <name val="Arial"/>
      <family val="2"/>
    </font>
    <font>
      <b/>
      <sz val="9"/>
      <name val="Arial"/>
      <family val="2"/>
    </font>
    <font>
      <b/>
      <sz val="9"/>
      <color indexed="18"/>
      <name val="Arial"/>
      <family val="2"/>
    </font>
    <font>
      <b/>
      <sz val="9"/>
      <color indexed="17"/>
      <name val="Arial"/>
      <family val="2"/>
    </font>
    <font>
      <strike/>
      <sz val="9"/>
      <name val="Arial"/>
      <family val="2"/>
    </font>
    <font>
      <b/>
      <sz val="9"/>
      <color theme="8" tint="-0.249977111117893"/>
      <name val="Arial"/>
      <family val="2"/>
    </font>
    <font>
      <b/>
      <sz val="9"/>
      <color indexed="10"/>
      <name val="Arial"/>
      <family val="2"/>
    </font>
    <font>
      <b/>
      <sz val="9"/>
      <color indexed="28"/>
      <name val="Arial"/>
      <family val="2"/>
    </font>
    <font>
      <sz val="9"/>
      <color indexed="12"/>
      <name val="Arial"/>
      <family val="2"/>
    </font>
    <font>
      <b/>
      <sz val="9"/>
      <color indexed="12"/>
      <name val="Arial"/>
      <family val="2"/>
    </font>
    <font>
      <b/>
      <sz val="9"/>
      <color indexed="58"/>
      <name val="Arial"/>
      <family val="2"/>
    </font>
    <font>
      <sz val="9"/>
      <color indexed="58"/>
      <name val="Arial"/>
      <family val="2"/>
    </font>
    <font>
      <b/>
      <sz val="9"/>
      <color indexed="16"/>
      <name val="Arial"/>
      <family val="2"/>
    </font>
    <font>
      <sz val="9"/>
      <color theme="3" tint="-0.249977111117893"/>
      <name val="Arial"/>
      <family val="2"/>
    </font>
    <font>
      <b/>
      <sz val="20"/>
      <color theme="4"/>
      <name val="Arial"/>
      <family val="2"/>
    </font>
    <font>
      <b/>
      <sz val="8"/>
      <name val="Arial"/>
      <family val="2"/>
    </font>
    <font>
      <sz val="10"/>
      <color theme="4" tint="-0.249977111117893"/>
      <name val="Arial Black"/>
      <family val="2"/>
    </font>
    <font>
      <sz val="9"/>
      <color rgb="FF0070C0"/>
      <name val="Arial"/>
      <family val="2"/>
    </font>
    <font>
      <sz val="9"/>
      <name val="Wingdings"/>
      <charset val="2"/>
    </font>
    <font>
      <strike/>
      <sz val="9"/>
      <name val="Wingdings"/>
      <charset val="2"/>
    </font>
    <font>
      <b/>
      <sz val="9"/>
      <color rgb="FF0000FF"/>
      <name val="Arial"/>
      <family val="2"/>
    </font>
    <font>
      <sz val="9"/>
      <color rgb="FF0000FF"/>
      <name val="Arial"/>
      <family val="2"/>
    </font>
    <font>
      <b/>
      <sz val="8"/>
      <color indexed="10"/>
      <name val="Arial"/>
      <family val="2"/>
    </font>
    <font>
      <b/>
      <sz val="12"/>
      <color rgb="FFC00000"/>
      <name val="Arial"/>
      <family val="2"/>
    </font>
  </fonts>
  <fills count="10">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rgb="FFEAEAEA"/>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DFFFF"/>
        <bgColor indexed="64"/>
      </patternFill>
    </fill>
    <fill>
      <patternFill patternType="solid">
        <fgColor rgb="FFEAEAEA"/>
        <bgColor rgb="FF000000"/>
      </patternFill>
    </fill>
  </fills>
  <borders count="26">
    <border>
      <left/>
      <right/>
      <top/>
      <bottom/>
      <diagonal/>
    </border>
    <border>
      <left style="thin">
        <color indexed="22"/>
      </left>
      <right style="thin">
        <color indexed="22"/>
      </right>
      <top style="thin">
        <color indexed="22"/>
      </top>
      <bottom style="thin">
        <color indexed="22"/>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double">
        <color auto="1"/>
      </bottom>
      <diagonal/>
    </border>
    <border>
      <left style="thin">
        <color indexed="22"/>
      </left>
      <right style="thin">
        <color indexed="22"/>
      </right>
      <top style="thin">
        <color indexed="22"/>
      </top>
      <bottom/>
      <diagonal/>
    </border>
    <border>
      <left style="thin">
        <color indexed="55"/>
      </left>
      <right style="thin">
        <color indexed="55"/>
      </right>
      <top style="thin">
        <color indexed="55"/>
      </top>
      <bottom style="thin">
        <color indexed="55"/>
      </bottom>
      <diagonal/>
    </border>
    <border>
      <left/>
      <right/>
      <top/>
      <bottom style="thin">
        <color auto="1"/>
      </bottom>
      <diagonal/>
    </border>
    <border>
      <left style="thin">
        <color indexed="55"/>
      </left>
      <right style="thin">
        <color indexed="55"/>
      </right>
      <top/>
      <bottom/>
      <diagonal/>
    </border>
    <border>
      <left style="thin">
        <color auto="1"/>
      </left>
      <right style="thin">
        <color auto="1"/>
      </right>
      <top style="thin">
        <color auto="1"/>
      </top>
      <bottom style="thin">
        <color auto="1"/>
      </bottom>
      <diagonal/>
    </border>
    <border>
      <left style="thin">
        <color indexed="55"/>
      </left>
      <right style="thin">
        <color indexed="55"/>
      </right>
      <top style="medium">
        <color auto="1"/>
      </top>
      <bottom style="thin">
        <color indexed="55"/>
      </bottom>
      <diagonal/>
    </border>
    <border>
      <left style="thin">
        <color indexed="22"/>
      </left>
      <right style="thin">
        <color indexed="22"/>
      </right>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thin">
        <color auto="1"/>
      </left>
      <right style="thin">
        <color indexed="55"/>
      </right>
      <top style="thin">
        <color auto="1"/>
      </top>
      <bottom style="thin">
        <color indexed="55"/>
      </bottom>
      <diagonal/>
    </border>
    <border>
      <left style="thin">
        <color indexed="55"/>
      </left>
      <right style="thin">
        <color indexed="55"/>
      </right>
      <top style="thin">
        <color auto="1"/>
      </top>
      <bottom style="thin">
        <color indexed="55"/>
      </bottom>
      <diagonal/>
    </border>
    <border>
      <left style="thin">
        <color indexed="55"/>
      </left>
      <right style="thin">
        <color auto="1"/>
      </right>
      <top style="thin">
        <color auto="1"/>
      </top>
      <bottom style="thin">
        <color indexed="55"/>
      </bottom>
      <diagonal/>
    </border>
    <border>
      <left style="thin">
        <color auto="1"/>
      </left>
      <right style="thin">
        <color indexed="55"/>
      </right>
      <top style="thin">
        <color indexed="55"/>
      </top>
      <bottom style="thin">
        <color indexed="55"/>
      </bottom>
      <diagonal/>
    </border>
    <border>
      <left style="thin">
        <color indexed="55"/>
      </left>
      <right style="thin">
        <color auto="1"/>
      </right>
      <top style="thin">
        <color indexed="55"/>
      </top>
      <bottom style="thin">
        <color indexed="55"/>
      </bottom>
      <diagonal/>
    </border>
    <border>
      <left style="thin">
        <color auto="1"/>
      </left>
      <right style="thin">
        <color indexed="55"/>
      </right>
      <top style="thin">
        <color indexed="55"/>
      </top>
      <bottom style="thin">
        <color auto="1"/>
      </bottom>
      <diagonal/>
    </border>
    <border>
      <left style="thin">
        <color indexed="55"/>
      </left>
      <right style="thin">
        <color indexed="55"/>
      </right>
      <top style="thin">
        <color indexed="55"/>
      </top>
      <bottom style="thin">
        <color auto="1"/>
      </bottom>
      <diagonal/>
    </border>
    <border>
      <left style="thin">
        <color indexed="55"/>
      </left>
      <right style="thin">
        <color auto="1"/>
      </right>
      <top style="thin">
        <color indexed="55"/>
      </top>
      <bottom style="thin">
        <color auto="1"/>
      </bottom>
      <diagonal/>
    </border>
    <border>
      <left style="thin">
        <color rgb="FFC0C0C0"/>
      </left>
      <right style="thin">
        <color rgb="FFC0C0C0"/>
      </right>
      <top style="thin">
        <color rgb="FFC0C0C0"/>
      </top>
      <bottom/>
      <diagonal/>
    </border>
    <border>
      <left/>
      <right style="thin">
        <color rgb="FFC0C0C0"/>
      </right>
      <top style="thin">
        <color rgb="FFC0C0C0"/>
      </top>
      <bottom/>
      <diagonal/>
    </border>
    <border>
      <left style="thin">
        <color indexed="55"/>
      </left>
      <right/>
      <top/>
      <bottom style="thin">
        <color indexed="55"/>
      </bottom>
      <diagonal/>
    </border>
  </borders>
  <cellStyleXfs count="5577">
    <xf numFmtId="169" fontId="0" fillId="0" borderId="0"/>
    <xf numFmtId="9" fontId="1" fillId="0" borderId="0" applyFont="0" applyFill="0" applyBorder="0" applyAlignment="0" applyProtection="0"/>
    <xf numFmtId="44" fontId="1" fillId="0" borderId="0" applyFon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1" fillId="0" borderId="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6"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cellStyleXfs>
  <cellXfs count="648">
    <xf numFmtId="169" fontId="0" fillId="0" borderId="0" xfId="0"/>
    <xf numFmtId="169" fontId="3" fillId="0" borderId="0" xfId="0" applyFont="1"/>
    <xf numFmtId="169" fontId="1" fillId="0" borderId="0" xfId="0" applyNumberFormat="1" applyFont="1"/>
    <xf numFmtId="166" fontId="1" fillId="0" borderId="0" xfId="0" applyNumberFormat="1" applyFont="1" applyAlignment="1">
      <alignment horizontal="center"/>
    </xf>
    <xf numFmtId="0" fontId="3" fillId="0" borderId="0" xfId="0" applyNumberFormat="1" applyFont="1" applyAlignment="1">
      <alignment horizontal="left" vertical="center"/>
    </xf>
    <xf numFmtId="0" fontId="1" fillId="0" borderId="0" xfId="0" applyNumberFormat="1" applyFont="1"/>
    <xf numFmtId="0" fontId="8" fillId="0" borderId="0" xfId="0" applyNumberFormat="1" applyFont="1"/>
    <xf numFmtId="0" fontId="8" fillId="0" borderId="0" xfId="0" applyNumberFormat="1" applyFont="1" applyAlignment="1">
      <alignment horizontal="left"/>
    </xf>
    <xf numFmtId="169" fontId="8" fillId="0" borderId="0" xfId="0" applyNumberFormat="1" applyFont="1" applyAlignment="1">
      <alignment horizontal="center"/>
    </xf>
    <xf numFmtId="0" fontId="8" fillId="0" borderId="0" xfId="0" applyNumberFormat="1" applyFont="1" applyAlignment="1">
      <alignment horizontal="center"/>
    </xf>
    <xf numFmtId="165" fontId="8" fillId="0" borderId="0" xfId="0" applyNumberFormat="1" applyFont="1" applyAlignment="1">
      <alignment horizontal="right"/>
    </xf>
    <xf numFmtId="164" fontId="8" fillId="0" borderId="0" xfId="0" applyNumberFormat="1" applyFont="1" applyAlignment="1">
      <alignment horizontal="right"/>
    </xf>
    <xf numFmtId="165" fontId="8" fillId="0" borderId="0" xfId="0" applyNumberFormat="1" applyFont="1"/>
    <xf numFmtId="169" fontId="8" fillId="0" borderId="0" xfId="0" applyFont="1"/>
    <xf numFmtId="169" fontId="8" fillId="0" borderId="0" xfId="0" applyNumberFormat="1" applyFont="1"/>
    <xf numFmtId="164" fontId="8" fillId="0" borderId="0" xfId="0" applyNumberFormat="1" applyFont="1" applyAlignment="1">
      <alignment horizontal="center"/>
    </xf>
    <xf numFmtId="1" fontId="8" fillId="0" borderId="0" xfId="0" applyNumberFormat="1" applyFont="1"/>
    <xf numFmtId="168" fontId="8" fillId="0" borderId="0" xfId="0" applyNumberFormat="1" applyFont="1" applyAlignment="1">
      <alignment horizontal="right"/>
    </xf>
    <xf numFmtId="0" fontId="1" fillId="0" borderId="0" xfId="0" applyNumberFormat="1" applyFont="1" applyAlignment="1">
      <alignment horizontal="left"/>
    </xf>
    <xf numFmtId="169" fontId="1" fillId="0" borderId="0" xfId="0" applyFont="1"/>
    <xf numFmtId="169" fontId="10" fillId="0" borderId="0" xfId="0" applyFont="1"/>
    <xf numFmtId="169" fontId="8" fillId="0" borderId="0" xfId="0" applyNumberFormat="1" applyFont="1" applyAlignment="1"/>
    <xf numFmtId="168" fontId="1" fillId="0" borderId="0" xfId="0" applyNumberFormat="1" applyFont="1" applyAlignment="1">
      <alignment horizontal="right"/>
    </xf>
    <xf numFmtId="0" fontId="1" fillId="0" borderId="0" xfId="0" applyNumberFormat="1" applyFont="1" applyAlignment="1">
      <alignment horizontal="center"/>
    </xf>
    <xf numFmtId="165" fontId="1" fillId="0" borderId="0" xfId="0" applyNumberFormat="1" applyFont="1" applyAlignment="1">
      <alignment horizontal="center"/>
    </xf>
    <xf numFmtId="164" fontId="1" fillId="0" borderId="0" xfId="0" applyNumberFormat="1" applyFont="1" applyAlignment="1">
      <alignment horizontal="right"/>
    </xf>
    <xf numFmtId="1" fontId="1" fillId="0" borderId="0" xfId="0" applyNumberFormat="1" applyFont="1"/>
    <xf numFmtId="169" fontId="1" fillId="0" borderId="0" xfId="0" applyNumberFormat="1" applyFont="1" applyAlignment="1">
      <alignment horizontal="center"/>
    </xf>
    <xf numFmtId="0" fontId="1" fillId="0" borderId="0" xfId="0" applyNumberFormat="1" applyFont="1" applyAlignment="1">
      <alignment horizontal="left" vertical="center"/>
    </xf>
    <xf numFmtId="0" fontId="1" fillId="0" borderId="0" xfId="0" applyNumberFormat="1" applyFont="1" applyAlignment="1">
      <alignment horizontal="right" vertical="center"/>
    </xf>
    <xf numFmtId="164" fontId="1" fillId="0" borderId="0" xfId="0" applyNumberFormat="1" applyFont="1" applyAlignment="1">
      <alignment horizontal="right" vertical="center"/>
    </xf>
    <xf numFmtId="169" fontId="1" fillId="0" borderId="0" xfId="0" applyNumberFormat="1" applyFont="1" applyAlignment="1">
      <alignment vertical="center"/>
    </xf>
    <xf numFmtId="164" fontId="1" fillId="0" borderId="0" xfId="0" applyNumberFormat="1" applyFont="1" applyAlignment="1">
      <alignment vertical="center"/>
    </xf>
    <xf numFmtId="0" fontId="1" fillId="0" borderId="0" xfId="0" applyNumberFormat="1" applyFont="1" applyAlignment="1">
      <alignment horizontal="center" vertical="center"/>
    </xf>
    <xf numFmtId="164" fontId="8" fillId="0" borderId="0" xfId="0" applyNumberFormat="1" applyFont="1"/>
    <xf numFmtId="169" fontId="8" fillId="0" borderId="0" xfId="0" applyNumberFormat="1" applyFont="1" applyAlignment="1">
      <alignment horizontal="right"/>
    </xf>
    <xf numFmtId="0" fontId="2" fillId="0" borderId="0" xfId="0" applyNumberFormat="1" applyFont="1" applyAlignment="1">
      <alignment horizontal="left"/>
    </xf>
    <xf numFmtId="0" fontId="2" fillId="0" borderId="0" xfId="0" applyNumberFormat="1" applyFont="1"/>
    <xf numFmtId="169" fontId="2" fillId="0" borderId="0" xfId="0" applyFont="1"/>
    <xf numFmtId="0" fontId="11" fillId="0" borderId="2" xfId="0" applyNumberFormat="1" applyFont="1" applyBorder="1" applyAlignment="1">
      <alignment horizontal="left"/>
    </xf>
    <xf numFmtId="0" fontId="11" fillId="0" borderId="2" xfId="0" applyNumberFormat="1" applyFont="1" applyBorder="1" applyAlignment="1">
      <alignment horizontal="center"/>
    </xf>
    <xf numFmtId="169" fontId="11" fillId="0" borderId="2" xfId="0" applyNumberFormat="1" applyFont="1" applyBorder="1" applyAlignment="1">
      <alignment horizontal="center"/>
    </xf>
    <xf numFmtId="0" fontId="11" fillId="0" borderId="2" xfId="0" applyNumberFormat="1" applyFont="1" applyBorder="1" applyAlignment="1">
      <alignment horizontal="center" wrapText="1"/>
    </xf>
    <xf numFmtId="165" fontId="11" fillId="0" borderId="2" xfId="0" applyNumberFormat="1" applyFont="1" applyBorder="1" applyAlignment="1">
      <alignment horizontal="center" wrapText="1"/>
    </xf>
    <xf numFmtId="164" fontId="11" fillId="0" borderId="2" xfId="0" applyNumberFormat="1" applyFont="1" applyBorder="1" applyAlignment="1">
      <alignment horizontal="right"/>
    </xf>
    <xf numFmtId="2" fontId="11" fillId="0" borderId="2" xfId="0" applyNumberFormat="1" applyFont="1" applyBorder="1" applyAlignment="1">
      <alignment horizontal="center" wrapText="1"/>
    </xf>
    <xf numFmtId="166" fontId="11" fillId="0" borderId="2" xfId="0" applyNumberFormat="1" applyFont="1" applyBorder="1" applyAlignment="1">
      <alignment horizontal="center" wrapText="1"/>
    </xf>
    <xf numFmtId="169" fontId="11" fillId="0" borderId="0" xfId="0" applyFont="1"/>
    <xf numFmtId="1" fontId="11" fillId="0" borderId="0" xfId="0" applyNumberFormat="1" applyFont="1"/>
    <xf numFmtId="0" fontId="8" fillId="0" borderId="1" xfId="0" applyNumberFormat="1" applyFont="1" applyBorder="1" applyAlignment="1">
      <alignment horizontal="left"/>
    </xf>
    <xf numFmtId="168" fontId="8" fillId="0" borderId="1" xfId="0" applyNumberFormat="1" applyFont="1" applyBorder="1" applyAlignment="1">
      <alignment horizontal="right"/>
    </xf>
    <xf numFmtId="0" fontId="8" fillId="0" borderId="1" xfId="0" applyNumberFormat="1" applyFont="1" applyBorder="1"/>
    <xf numFmtId="169" fontId="8" fillId="0" borderId="1" xfId="0" applyFont="1" applyBorder="1"/>
    <xf numFmtId="164" fontId="8" fillId="0" borderId="1" xfId="0" applyNumberFormat="1" applyFont="1" applyFill="1" applyBorder="1" applyAlignment="1">
      <alignment horizontal="center"/>
    </xf>
    <xf numFmtId="169" fontId="8" fillId="0" borderId="1" xfId="0" applyNumberFormat="1" applyFont="1" applyFill="1" applyBorder="1" applyAlignment="1">
      <alignment horizontal="center"/>
    </xf>
    <xf numFmtId="169" fontId="8" fillId="0" borderId="1" xfId="0" applyNumberFormat="1" applyFont="1" applyBorder="1"/>
    <xf numFmtId="0" fontId="8" fillId="2" borderId="1" xfId="0" applyNumberFormat="1" applyFont="1" applyFill="1" applyBorder="1" applyAlignment="1">
      <alignment horizontal="left"/>
    </xf>
    <xf numFmtId="168" fontId="8" fillId="2" borderId="1" xfId="0" applyNumberFormat="1" applyFont="1" applyFill="1" applyBorder="1" applyAlignment="1">
      <alignment horizontal="right"/>
    </xf>
    <xf numFmtId="0" fontId="8" fillId="2" borderId="1" xfId="0" applyNumberFormat="1" applyFont="1" applyFill="1" applyBorder="1"/>
    <xf numFmtId="169" fontId="8" fillId="2" borderId="1" xfId="0" applyFont="1" applyFill="1" applyBorder="1"/>
    <xf numFmtId="169" fontId="8" fillId="2" borderId="1" xfId="0" applyNumberFormat="1" applyFont="1" applyFill="1" applyBorder="1"/>
    <xf numFmtId="169" fontId="8" fillId="2" borderId="0" xfId="0" applyFont="1" applyFill="1" applyBorder="1"/>
    <xf numFmtId="169" fontId="8" fillId="2" borderId="0" xfId="0" applyNumberFormat="1" applyFont="1" applyFill="1" applyBorder="1"/>
    <xf numFmtId="164" fontId="8"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69" fontId="8" fillId="0" borderId="0" xfId="0" applyFont="1" applyBorder="1"/>
    <xf numFmtId="168" fontId="8" fillId="0" borderId="5" xfId="0" applyNumberFormat="1" applyFont="1" applyBorder="1" applyAlignment="1">
      <alignment horizontal="right"/>
    </xf>
    <xf numFmtId="169" fontId="8" fillId="0" borderId="0" xfId="0" applyNumberFormat="1" applyFont="1" applyBorder="1"/>
    <xf numFmtId="0" fontId="8" fillId="0" borderId="0" xfId="0" applyNumberFormat="1" applyFont="1" applyBorder="1" applyAlignment="1">
      <alignment horizontal="left"/>
    </xf>
    <xf numFmtId="168" fontId="8" fillId="0" borderId="0" xfId="0" applyNumberFormat="1" applyFont="1" applyBorder="1" applyAlignment="1">
      <alignment horizontal="right"/>
    </xf>
    <xf numFmtId="0" fontId="8" fillId="0" borderId="0" xfId="0" applyNumberFormat="1" applyFont="1" applyBorder="1"/>
    <xf numFmtId="168" fontId="9" fillId="0" borderId="0" xfId="0" applyNumberFormat="1" applyFont="1" applyAlignment="1">
      <alignment horizontal="right"/>
    </xf>
    <xf numFmtId="0" fontId="14" fillId="0" borderId="0" xfId="0" applyNumberFormat="1" applyFont="1"/>
    <xf numFmtId="168" fontId="8" fillId="2" borderId="3" xfId="0" applyNumberFormat="1" applyFont="1" applyFill="1" applyBorder="1"/>
    <xf numFmtId="169" fontId="2" fillId="0" borderId="0" xfId="0" applyNumberFormat="1" applyFont="1"/>
    <xf numFmtId="0" fontId="8" fillId="0" borderId="0" xfId="0" applyNumberFormat="1" applyFont="1" applyAlignment="1"/>
    <xf numFmtId="0" fontId="8" fillId="3" borderId="3" xfId="0" applyNumberFormat="1" applyFont="1" applyFill="1" applyBorder="1"/>
    <xf numFmtId="169" fontId="2" fillId="0" borderId="0" xfId="0" applyFont="1" applyFill="1"/>
    <xf numFmtId="0" fontId="15" fillId="0" borderId="2" xfId="0" applyNumberFormat="1" applyFont="1" applyBorder="1" applyAlignment="1">
      <alignment wrapText="1"/>
    </xf>
    <xf numFmtId="168" fontId="15" fillId="0" borderId="2" xfId="0" applyNumberFormat="1" applyFont="1" applyBorder="1" applyAlignment="1">
      <alignment horizontal="center" wrapText="1"/>
    </xf>
    <xf numFmtId="164" fontId="15" fillId="0" borderId="2" xfId="0" applyNumberFormat="1" applyFont="1" applyBorder="1" applyAlignment="1">
      <alignment horizontal="center" wrapText="1"/>
    </xf>
    <xf numFmtId="0" fontId="15" fillId="0" borderId="2" xfId="0" applyNumberFormat="1" applyFont="1" applyBorder="1" applyAlignment="1">
      <alignment horizontal="center" wrapText="1"/>
    </xf>
    <xf numFmtId="169" fontId="15" fillId="0" borderId="2" xfId="0" applyNumberFormat="1" applyFont="1" applyBorder="1" applyAlignment="1">
      <alignment horizontal="center" wrapText="1"/>
    </xf>
    <xf numFmtId="169" fontId="9" fillId="0" borderId="2" xfId="0" applyNumberFormat="1" applyFont="1" applyBorder="1" applyAlignment="1">
      <alignment wrapText="1"/>
    </xf>
    <xf numFmtId="169" fontId="9" fillId="0" borderId="0" xfId="0" applyFont="1" applyAlignment="1">
      <alignment wrapText="1"/>
    </xf>
    <xf numFmtId="168" fontId="8" fillId="0" borderId="1" xfId="0" applyNumberFormat="1" applyFont="1" applyBorder="1"/>
    <xf numFmtId="164" fontId="8" fillId="0" borderId="1" xfId="0" applyNumberFormat="1" applyFont="1" applyFill="1" applyBorder="1" applyAlignment="1">
      <alignment horizontal="right"/>
    </xf>
    <xf numFmtId="0" fontId="8" fillId="0" borderId="1" xfId="0" applyNumberFormat="1" applyFont="1" applyFill="1" applyBorder="1" applyAlignment="1"/>
    <xf numFmtId="0" fontId="8" fillId="0" borderId="1" xfId="0" applyNumberFormat="1" applyFont="1" applyFill="1" applyBorder="1" applyAlignment="1">
      <alignment horizontal="right"/>
    </xf>
    <xf numFmtId="0" fontId="8" fillId="0" borderId="1" xfId="0" applyNumberFormat="1" applyFont="1" applyFill="1" applyBorder="1" applyAlignment="1">
      <alignment horizontal="left"/>
    </xf>
    <xf numFmtId="169" fontId="8" fillId="3" borderId="0" xfId="0" applyFont="1" applyFill="1"/>
    <xf numFmtId="168" fontId="8" fillId="0" borderId="0" xfId="0" applyNumberFormat="1" applyFont="1" applyBorder="1"/>
    <xf numFmtId="164" fontId="8" fillId="0" borderId="0" xfId="0" applyNumberFormat="1" applyFont="1" applyFill="1" applyBorder="1" applyAlignment="1">
      <alignment horizontal="right"/>
    </xf>
    <xf numFmtId="0" fontId="8" fillId="0" borderId="0" xfId="0" applyNumberFormat="1" applyFont="1" applyFill="1" applyBorder="1" applyAlignment="1"/>
    <xf numFmtId="0" fontId="8" fillId="0" borderId="0" xfId="0" applyNumberFormat="1" applyFont="1" applyFill="1" applyBorder="1" applyAlignment="1">
      <alignment horizontal="right"/>
    </xf>
    <xf numFmtId="0" fontId="8" fillId="0" borderId="0" xfId="0" applyNumberFormat="1" applyFont="1" applyFill="1" applyBorder="1" applyAlignment="1">
      <alignment horizontal="left"/>
    </xf>
    <xf numFmtId="164" fontId="8" fillId="0" borderId="0" xfId="0" applyNumberFormat="1" applyFont="1" applyFill="1" applyAlignment="1"/>
    <xf numFmtId="169" fontId="8" fillId="0" borderId="0" xfId="2" applyNumberFormat="1" applyFont="1" applyFill="1" applyAlignment="1"/>
    <xf numFmtId="169" fontId="16" fillId="0" borderId="0" xfId="2" applyNumberFormat="1" applyFont="1" applyAlignment="1"/>
    <xf numFmtId="169" fontId="8" fillId="0" borderId="0" xfId="0" applyNumberFormat="1" applyFont="1" applyFill="1" applyAlignment="1"/>
    <xf numFmtId="169" fontId="8" fillId="0" borderId="0" xfId="0" applyNumberFormat="1" applyFont="1" applyFill="1" applyAlignment="1">
      <alignment horizontal="right"/>
    </xf>
    <xf numFmtId="168" fontId="8" fillId="0" borderId="0" xfId="0" applyNumberFormat="1" applyFont="1"/>
    <xf numFmtId="164" fontId="8" fillId="0" borderId="0" xfId="0" applyNumberFormat="1" applyFont="1" applyAlignment="1"/>
    <xf numFmtId="0" fontId="8" fillId="0" borderId="0" xfId="0" applyNumberFormat="1" applyFont="1" applyFill="1" applyAlignment="1"/>
    <xf numFmtId="0" fontId="8" fillId="0" borderId="0" xfId="0" applyNumberFormat="1" applyFont="1" applyFill="1"/>
    <xf numFmtId="168" fontId="17" fillId="0" borderId="0" xfId="0" applyNumberFormat="1" applyFont="1" applyAlignment="1">
      <alignment horizontal="right"/>
    </xf>
    <xf numFmtId="164" fontId="16" fillId="0" borderId="0" xfId="0" applyNumberFormat="1" applyFont="1" applyAlignment="1"/>
    <xf numFmtId="168" fontId="9" fillId="0" borderId="0" xfId="0" applyNumberFormat="1" applyFont="1"/>
    <xf numFmtId="164" fontId="9" fillId="0" borderId="0" xfId="0" applyNumberFormat="1" applyFont="1" applyAlignment="1"/>
    <xf numFmtId="168" fontId="8" fillId="0" borderId="0" xfId="0" applyNumberFormat="1" applyFont="1" applyAlignment="1"/>
    <xf numFmtId="0" fontId="9" fillId="0" borderId="0" xfId="0" applyNumberFormat="1" applyFont="1"/>
    <xf numFmtId="169" fontId="9" fillId="0" borderId="0" xfId="0" applyNumberFormat="1" applyFont="1"/>
    <xf numFmtId="169" fontId="9" fillId="0" borderId="0" xfId="0" applyFont="1"/>
    <xf numFmtId="0" fontId="8" fillId="0" borderId="0" xfId="0" quotePrefix="1" applyNumberFormat="1" applyFont="1"/>
    <xf numFmtId="169" fontId="8" fillId="0" borderId="0" xfId="0" applyNumberFormat="1" applyFont="1" applyFill="1"/>
    <xf numFmtId="169" fontId="1" fillId="0" borderId="0" xfId="0" quotePrefix="1" applyNumberFormat="1" applyFont="1"/>
    <xf numFmtId="168" fontId="1" fillId="0" borderId="0" xfId="0" applyNumberFormat="1" applyFont="1"/>
    <xf numFmtId="0" fontId="1" fillId="0" borderId="0" xfId="0" applyNumberFormat="1" applyFont="1" applyAlignment="1"/>
    <xf numFmtId="0" fontId="1" fillId="0" borderId="0" xfId="0" quotePrefix="1" applyNumberFormat="1" applyFont="1" applyAlignment="1"/>
    <xf numFmtId="169" fontId="8" fillId="0" borderId="1" xfId="0" applyNumberFormat="1" applyFont="1" applyFill="1" applyBorder="1" applyAlignment="1">
      <alignment horizontal="right"/>
    </xf>
    <xf numFmtId="169" fontId="8" fillId="0" borderId="0" xfId="0" applyNumberFormat="1" applyFont="1" applyFill="1" applyBorder="1" applyAlignment="1">
      <alignment horizontal="right"/>
    </xf>
    <xf numFmtId="164" fontId="8" fillId="0" borderId="1" xfId="0" applyNumberFormat="1" applyFont="1" applyBorder="1" applyAlignment="1"/>
    <xf numFmtId="164" fontId="8" fillId="0" borderId="0" xfId="0" applyNumberFormat="1" applyFont="1" applyBorder="1" applyAlignment="1"/>
    <xf numFmtId="169" fontId="19" fillId="0" borderId="0" xfId="0" applyNumberFormat="1" applyFont="1" applyAlignment="1"/>
    <xf numFmtId="9" fontId="8" fillId="0" borderId="0" xfId="1" applyFont="1" applyAlignment="1"/>
    <xf numFmtId="164" fontId="9" fillId="0" borderId="0" xfId="0" applyNumberFormat="1" applyFont="1"/>
    <xf numFmtId="0" fontId="20" fillId="0" borderId="0" xfId="0" applyNumberFormat="1" applyFont="1"/>
    <xf numFmtId="0" fontId="8" fillId="0" borderId="0" xfId="0" applyNumberFormat="1" applyFont="1" applyFill="1" applyAlignment="1">
      <alignment horizontal="right"/>
    </xf>
    <xf numFmtId="0" fontId="20" fillId="0" borderId="0" xfId="0" applyNumberFormat="1" applyFont="1" applyAlignment="1">
      <alignment horizontal="center"/>
    </xf>
    <xf numFmtId="0" fontId="8" fillId="0" borderId="1" xfId="0" quotePrefix="1" applyNumberFormat="1" applyFont="1" applyBorder="1"/>
    <xf numFmtId="0" fontId="8" fillId="0" borderId="0" xfId="0" quotePrefix="1" applyNumberFormat="1" applyFont="1" applyBorder="1"/>
    <xf numFmtId="164" fontId="17" fillId="0" borderId="0" xfId="0" applyNumberFormat="1" applyFont="1" applyAlignment="1"/>
    <xf numFmtId="0" fontId="16" fillId="0" borderId="0" xfId="0" applyNumberFormat="1" applyFont="1" applyAlignment="1"/>
    <xf numFmtId="0" fontId="16" fillId="0" borderId="0" xfId="0" applyNumberFormat="1" applyFont="1" applyAlignment="1">
      <alignment horizontal="left"/>
    </xf>
    <xf numFmtId="0" fontId="9" fillId="0" borderId="0" xfId="0" applyNumberFormat="1" applyFont="1" applyAlignment="1"/>
    <xf numFmtId="0" fontId="10" fillId="0" borderId="0" xfId="0" applyNumberFormat="1" applyFont="1"/>
    <xf numFmtId="164" fontId="8" fillId="0" borderId="0" xfId="2" applyNumberFormat="1" applyFont="1" applyAlignment="1"/>
    <xf numFmtId="168" fontId="8" fillId="2" borderId="1" xfId="0" applyNumberFormat="1" applyFont="1" applyFill="1" applyBorder="1"/>
    <xf numFmtId="164" fontId="8" fillId="2" borderId="1" xfId="0" applyNumberFormat="1" applyFont="1" applyFill="1" applyBorder="1" applyAlignment="1"/>
    <xf numFmtId="0" fontId="8" fillId="2" borderId="1" xfId="0" applyNumberFormat="1" applyFont="1" applyFill="1" applyBorder="1" applyAlignment="1"/>
    <xf numFmtId="169" fontId="8" fillId="2" borderId="0" xfId="0" applyFont="1" applyFill="1"/>
    <xf numFmtId="169" fontId="8" fillId="2" borderId="0" xfId="0" applyNumberFormat="1" applyFont="1" applyFill="1"/>
    <xf numFmtId="0" fontId="8" fillId="3" borderId="1" xfId="0" applyNumberFormat="1" applyFont="1" applyFill="1" applyBorder="1"/>
    <xf numFmtId="168" fontId="8" fillId="3" borderId="1" xfId="0" applyNumberFormat="1" applyFont="1" applyFill="1" applyBorder="1"/>
    <xf numFmtId="164" fontId="8" fillId="3" borderId="1" xfId="0" applyNumberFormat="1" applyFont="1" applyFill="1" applyBorder="1" applyAlignment="1"/>
    <xf numFmtId="0" fontId="8" fillId="3" borderId="1" xfId="0" applyNumberFormat="1" applyFont="1" applyFill="1" applyBorder="1" applyAlignment="1"/>
    <xf numFmtId="164" fontId="8" fillId="3" borderId="1" xfId="0" applyNumberFormat="1" applyFont="1" applyFill="1" applyBorder="1" applyAlignment="1">
      <alignment horizontal="right"/>
    </xf>
    <xf numFmtId="0" fontId="8" fillId="3" borderId="1" xfId="0" applyNumberFormat="1" applyFont="1" applyFill="1" applyBorder="1" applyAlignment="1">
      <alignment horizontal="left"/>
    </xf>
    <xf numFmtId="169" fontId="8" fillId="3" borderId="1" xfId="0" applyFont="1" applyFill="1" applyBorder="1"/>
    <xf numFmtId="0" fontId="8" fillId="0" borderId="0" xfId="0" applyNumberFormat="1" applyFont="1" applyFill="1" applyAlignment="1">
      <alignment horizontal="left"/>
    </xf>
    <xf numFmtId="169" fontId="8" fillId="3" borderId="0" xfId="0" applyNumberFormat="1" applyFont="1" applyFill="1"/>
    <xf numFmtId="169" fontId="16" fillId="0" borderId="0" xfId="0" applyNumberFormat="1" applyFont="1" applyAlignment="1"/>
    <xf numFmtId="169" fontId="16" fillId="0" borderId="0" xfId="2" applyNumberFormat="1" applyFont="1" applyAlignment="1">
      <alignment horizontal="right"/>
    </xf>
    <xf numFmtId="169" fontId="18" fillId="0" borderId="0" xfId="0" applyNumberFormat="1" applyFont="1" applyAlignment="1"/>
    <xf numFmtId="0" fontId="19" fillId="0" borderId="0" xfId="0" applyNumberFormat="1" applyFont="1" applyAlignment="1"/>
    <xf numFmtId="0" fontId="19" fillId="0" borderId="0" xfId="0" applyNumberFormat="1" applyFont="1" applyAlignment="1">
      <alignment horizontal="left"/>
    </xf>
    <xf numFmtId="9" fontId="8" fillId="0" borderId="0" xfId="1" applyNumberFormat="1" applyFont="1" applyAlignment="1"/>
    <xf numFmtId="169" fontId="8" fillId="0" borderId="0" xfId="2" applyNumberFormat="1" applyFont="1" applyAlignment="1">
      <alignment horizontal="right"/>
    </xf>
    <xf numFmtId="169" fontId="9" fillId="0" borderId="0" xfId="2" applyNumberFormat="1" applyFont="1" applyAlignment="1">
      <alignment horizontal="right"/>
    </xf>
    <xf numFmtId="0" fontId="9" fillId="0" borderId="0" xfId="0" applyNumberFormat="1" applyFont="1" applyAlignment="1">
      <alignment horizontal="left"/>
    </xf>
    <xf numFmtId="169" fontId="8" fillId="0" borderId="0" xfId="2" applyNumberFormat="1" applyFont="1" applyFill="1" applyAlignment="1">
      <alignment horizontal="right"/>
    </xf>
    <xf numFmtId="169" fontId="15" fillId="0" borderId="2" xfId="2" applyNumberFormat="1" applyFont="1" applyBorder="1" applyAlignment="1">
      <alignment horizontal="right" wrapText="1"/>
    </xf>
    <xf numFmtId="169" fontId="9" fillId="0" borderId="2" xfId="0" applyFont="1" applyBorder="1" applyAlignment="1">
      <alignment wrapText="1"/>
    </xf>
    <xf numFmtId="169" fontId="9" fillId="0" borderId="0" xfId="0" applyNumberFormat="1" applyFont="1" applyAlignment="1">
      <alignment wrapText="1"/>
    </xf>
    <xf numFmtId="0" fontId="9" fillId="0" borderId="0" xfId="0" applyNumberFormat="1" applyFont="1" applyBorder="1"/>
    <xf numFmtId="164" fontId="8" fillId="0" borderId="0" xfId="0" applyNumberFormat="1" applyFont="1" applyFill="1" applyAlignment="1">
      <alignment horizontal="right"/>
    </xf>
    <xf numFmtId="164" fontId="8" fillId="0" borderId="0" xfId="0" applyNumberFormat="1" applyFont="1" applyFill="1"/>
    <xf numFmtId="0" fontId="9" fillId="0" borderId="0" xfId="0" applyNumberFormat="1" applyFont="1" applyAlignment="1">
      <alignment horizontal="right"/>
    </xf>
    <xf numFmtId="164" fontId="9" fillId="0" borderId="0" xfId="2" applyNumberFormat="1" applyFont="1" applyAlignment="1"/>
    <xf numFmtId="164" fontId="9" fillId="0" borderId="0" xfId="0" applyNumberFormat="1" applyFont="1" applyFill="1"/>
    <xf numFmtId="0" fontId="9" fillId="0" borderId="0" xfId="0" applyNumberFormat="1" applyFont="1" applyFill="1"/>
    <xf numFmtId="0" fontId="9" fillId="0" borderId="0" xfId="0" applyNumberFormat="1" applyFont="1" applyFill="1" applyAlignment="1">
      <alignment horizontal="left"/>
    </xf>
    <xf numFmtId="164" fontId="18" fillId="0" borderId="0" xfId="0" applyNumberFormat="1" applyFont="1" applyAlignment="1"/>
    <xf numFmtId="164" fontId="19" fillId="0" borderId="0" xfId="0" applyNumberFormat="1" applyFont="1" applyAlignment="1"/>
    <xf numFmtId="169" fontId="19" fillId="0" borderId="0" xfId="2" applyNumberFormat="1" applyFont="1" applyAlignment="1"/>
    <xf numFmtId="168" fontId="8" fillId="2" borderId="3" xfId="0" applyNumberFormat="1" applyFont="1" applyFill="1" applyBorder="1" applyAlignment="1">
      <alignment horizontal="right"/>
    </xf>
    <xf numFmtId="164" fontId="2" fillId="0" borderId="0" xfId="0" applyNumberFormat="1" applyFont="1"/>
    <xf numFmtId="168" fontId="15" fillId="0" borderId="2" xfId="0" applyNumberFormat="1" applyFont="1" applyBorder="1" applyAlignment="1">
      <alignment horizontal="right" wrapText="1"/>
    </xf>
    <xf numFmtId="168" fontId="8" fillId="3" borderId="1" xfId="0" applyNumberFormat="1" applyFont="1" applyFill="1" applyBorder="1" applyAlignment="1">
      <alignment horizontal="right"/>
    </xf>
    <xf numFmtId="168" fontId="8" fillId="0" borderId="1" xfId="0" quotePrefix="1" applyNumberFormat="1" applyFont="1" applyBorder="1" applyAlignment="1">
      <alignment horizontal="right"/>
    </xf>
    <xf numFmtId="164" fontId="8" fillId="0" borderId="0" xfId="1" applyNumberFormat="1" applyFont="1" applyAlignment="1"/>
    <xf numFmtId="164" fontId="16" fillId="0" borderId="0" xfId="0" applyNumberFormat="1" applyFont="1" applyFill="1" applyAlignment="1"/>
    <xf numFmtId="0" fontId="16" fillId="0" borderId="0" xfId="0" applyNumberFormat="1" applyFont="1" applyFill="1" applyAlignment="1"/>
    <xf numFmtId="0" fontId="16" fillId="0" borderId="0" xfId="0" applyNumberFormat="1" applyFont="1" applyFill="1" applyAlignment="1">
      <alignment horizontal="left"/>
    </xf>
    <xf numFmtId="164" fontId="9" fillId="0" borderId="0" xfId="0" applyNumberFormat="1" applyFont="1" applyFill="1" applyAlignment="1"/>
    <xf numFmtId="0" fontId="9" fillId="0" borderId="0" xfId="0" applyNumberFormat="1" applyFont="1" applyFill="1" applyAlignment="1"/>
    <xf numFmtId="169" fontId="8" fillId="3" borderId="0" xfId="0" applyFont="1" applyFill="1" applyBorder="1"/>
    <xf numFmtId="168" fontId="8" fillId="0" borderId="0" xfId="0" quotePrefix="1" applyNumberFormat="1" applyFont="1"/>
    <xf numFmtId="0" fontId="14" fillId="0" borderId="0" xfId="0" applyNumberFormat="1" applyFont="1" applyAlignment="1"/>
    <xf numFmtId="164" fontId="2" fillId="0" borderId="0" xfId="2" applyNumberFormat="1" applyFont="1"/>
    <xf numFmtId="164" fontId="15" fillId="0" borderId="2" xfId="2" applyNumberFormat="1" applyFont="1" applyBorder="1" applyAlignment="1">
      <alignment horizontal="center" wrapText="1"/>
    </xf>
    <xf numFmtId="164" fontId="8" fillId="2" borderId="1" xfId="2" applyNumberFormat="1" applyFont="1" applyFill="1" applyBorder="1" applyAlignment="1"/>
    <xf numFmtId="164" fontId="8" fillId="0" borderId="0" xfId="2" applyNumberFormat="1" applyFont="1"/>
    <xf numFmtId="0" fontId="8" fillId="2" borderId="1" xfId="0" applyNumberFormat="1" applyFont="1" applyFill="1" applyBorder="1" applyAlignment="1">
      <alignment horizontal="left" vertical="top"/>
    </xf>
    <xf numFmtId="164" fontId="8" fillId="3" borderId="1" xfId="2" applyNumberFormat="1" applyFont="1" applyFill="1" applyBorder="1" applyAlignment="1"/>
    <xf numFmtId="0" fontId="8" fillId="3" borderId="1" xfId="0" quotePrefix="1" applyNumberFormat="1" applyFont="1" applyFill="1" applyBorder="1" applyAlignment="1">
      <alignment horizontal="left"/>
    </xf>
    <xf numFmtId="0" fontId="8" fillId="0" borderId="1" xfId="0" applyNumberFormat="1" applyFont="1" applyBorder="1" applyAlignment="1"/>
    <xf numFmtId="164" fontId="8" fillId="0" borderId="1" xfId="2" applyNumberFormat="1" applyFont="1" applyBorder="1" applyAlignment="1">
      <alignment horizontal="right"/>
    </xf>
    <xf numFmtId="0" fontId="8" fillId="0" borderId="0" xfId="0" applyNumberFormat="1" applyFont="1" applyBorder="1" applyAlignment="1"/>
    <xf numFmtId="164" fontId="8" fillId="0" borderId="0" xfId="2" applyNumberFormat="1" applyFont="1" applyBorder="1" applyAlignment="1">
      <alignment horizontal="right"/>
    </xf>
    <xf numFmtId="0" fontId="8" fillId="0" borderId="1" xfId="0" quotePrefix="1" applyNumberFormat="1" applyFont="1" applyBorder="1" applyAlignment="1">
      <alignment horizontal="left"/>
    </xf>
    <xf numFmtId="0" fontId="8" fillId="0" borderId="0" xfId="0" quotePrefix="1" applyNumberFormat="1" applyFont="1" applyBorder="1" applyAlignment="1">
      <alignment horizontal="left"/>
    </xf>
    <xf numFmtId="164" fontId="8" fillId="0" borderId="0" xfId="2" applyNumberFormat="1" applyFont="1" applyAlignment="1">
      <alignment horizontal="right"/>
    </xf>
    <xf numFmtId="0" fontId="8" fillId="0" borderId="0" xfId="0" quotePrefix="1" applyNumberFormat="1" applyFont="1" applyAlignment="1">
      <alignment horizontal="left"/>
    </xf>
    <xf numFmtId="164" fontId="16" fillId="0" borderId="0" xfId="2" applyNumberFormat="1" applyFont="1" applyAlignment="1"/>
    <xf numFmtId="164" fontId="18" fillId="0" borderId="0" xfId="2" applyNumberFormat="1" applyFont="1" applyAlignment="1"/>
    <xf numFmtId="164" fontId="19" fillId="0" borderId="0" xfId="2" applyNumberFormat="1" applyFont="1" applyAlignment="1"/>
    <xf numFmtId="0" fontId="8" fillId="0" borderId="0" xfId="1" applyNumberFormat="1" applyFont="1" applyAlignment="1"/>
    <xf numFmtId="15" fontId="8" fillId="0" borderId="0" xfId="0" applyNumberFormat="1" applyFont="1" applyAlignment="1">
      <alignment horizontal="center" vertical="top"/>
    </xf>
    <xf numFmtId="0" fontId="8" fillId="0" borderId="0" xfId="0" applyNumberFormat="1" applyFont="1" applyAlignment="1">
      <alignment horizontal="center" vertical="top"/>
    </xf>
    <xf numFmtId="165" fontId="8" fillId="0" borderId="0" xfId="0" applyNumberFormat="1" applyFont="1" applyAlignment="1">
      <alignment horizontal="center" vertical="top"/>
    </xf>
    <xf numFmtId="0" fontId="8" fillId="0" borderId="0" xfId="0" applyNumberFormat="1" applyFont="1" applyAlignment="1">
      <alignment vertical="top"/>
    </xf>
    <xf numFmtId="169" fontId="8" fillId="0" borderId="0" xfId="0" applyFont="1" applyAlignment="1">
      <alignment vertical="top"/>
    </xf>
    <xf numFmtId="0" fontId="8" fillId="0" borderId="6" xfId="0" applyNumberFormat="1" applyFont="1" applyFill="1" applyBorder="1" applyAlignment="1">
      <alignment vertical="top"/>
    </xf>
    <xf numFmtId="167" fontId="8" fillId="0" borderId="0" xfId="0" applyNumberFormat="1" applyFont="1" applyAlignment="1">
      <alignment horizontal="center" vertical="top"/>
    </xf>
    <xf numFmtId="165" fontId="1" fillId="0" borderId="0" xfId="0" applyNumberFormat="1" applyFont="1" applyAlignment="1">
      <alignment horizontal="right"/>
    </xf>
    <xf numFmtId="2" fontId="1" fillId="0" borderId="0" xfId="0" applyNumberFormat="1" applyFont="1" applyAlignment="1">
      <alignment horizontal="center"/>
    </xf>
    <xf numFmtId="165" fontId="1" fillId="0" borderId="0" xfId="0" applyNumberFormat="1" applyFont="1"/>
    <xf numFmtId="164" fontId="1" fillId="0" borderId="0" xfId="0" applyNumberFormat="1" applyFont="1" applyAlignment="1">
      <alignment horizontal="center"/>
    </xf>
    <xf numFmtId="0" fontId="11" fillId="0" borderId="2" xfId="0" applyNumberFormat="1" applyFont="1" applyBorder="1"/>
    <xf numFmtId="168" fontId="11" fillId="0" borderId="2" xfId="0" applyNumberFormat="1" applyFont="1" applyBorder="1" applyAlignment="1">
      <alignment horizontal="right"/>
    </xf>
    <xf numFmtId="169" fontId="11" fillId="0" borderId="2" xfId="0" applyNumberFormat="1" applyFont="1" applyBorder="1" applyAlignment="1">
      <alignment horizontal="center" textRotation="90"/>
    </xf>
    <xf numFmtId="165" fontId="11" fillId="0" borderId="2" xfId="0" applyNumberFormat="1" applyFont="1" applyBorder="1" applyAlignment="1">
      <alignment horizontal="left"/>
    </xf>
    <xf numFmtId="169" fontId="11" fillId="0" borderId="0" xfId="0" applyNumberFormat="1" applyFont="1"/>
    <xf numFmtId="164" fontId="11" fillId="0" borderId="0" xfId="0" applyNumberFormat="1" applyFont="1" applyAlignment="1">
      <alignment horizontal="center" wrapText="1"/>
    </xf>
    <xf numFmtId="0" fontId="11" fillId="0" borderId="0" xfId="0" applyNumberFormat="1" applyFont="1"/>
    <xf numFmtId="9" fontId="8" fillId="0" borderId="0" xfId="1" applyFont="1" applyAlignment="1">
      <alignment horizontal="center"/>
    </xf>
    <xf numFmtId="0" fontId="8" fillId="0" borderId="0" xfId="1" applyNumberFormat="1" applyFont="1" applyAlignment="1">
      <alignment horizontal="center"/>
    </xf>
    <xf numFmtId="0" fontId="8" fillId="0" borderId="0" xfId="0" applyNumberFormat="1" applyFont="1" applyFill="1" applyBorder="1" applyAlignment="1">
      <alignment vertical="center"/>
    </xf>
    <xf numFmtId="15" fontId="8" fillId="0" borderId="0" xfId="0" applyNumberFormat="1" applyFont="1" applyBorder="1" applyAlignment="1">
      <alignment horizontal="center" vertical="center"/>
    </xf>
    <xf numFmtId="0" fontId="8" fillId="0" borderId="0" xfId="0" applyNumberFormat="1" applyFont="1" applyBorder="1" applyAlignment="1">
      <alignment horizontal="center" vertical="center"/>
    </xf>
    <xf numFmtId="165" fontId="8" fillId="0" borderId="0" xfId="0" applyNumberFormat="1" applyFont="1" applyBorder="1" applyAlignment="1">
      <alignment horizontal="center" vertical="center"/>
    </xf>
    <xf numFmtId="167" fontId="8" fillId="0" borderId="0" xfId="0" applyNumberFormat="1" applyFont="1" applyBorder="1" applyAlignment="1">
      <alignment horizontal="center" vertical="center"/>
    </xf>
    <xf numFmtId="0" fontId="8" fillId="0" borderId="0" xfId="0" quotePrefix="1" applyNumberFormat="1" applyFont="1" applyFill="1" applyBorder="1" applyAlignment="1">
      <alignment vertical="center"/>
    </xf>
    <xf numFmtId="169" fontId="8" fillId="0" borderId="0" xfId="0" applyFont="1" applyBorder="1" applyAlignment="1">
      <alignment vertical="center"/>
    </xf>
    <xf numFmtId="0" fontId="8" fillId="0" borderId="8" xfId="0" applyNumberFormat="1" applyFont="1" applyFill="1" applyBorder="1" applyAlignment="1">
      <alignment vertical="center"/>
    </xf>
    <xf numFmtId="15" fontId="8" fillId="0" borderId="0" xfId="0" applyNumberFormat="1" applyFont="1" applyAlignment="1">
      <alignment horizontal="center" vertical="center"/>
    </xf>
    <xf numFmtId="0" fontId="8" fillId="0" borderId="0" xfId="0" applyNumberFormat="1" applyFont="1" applyAlignment="1">
      <alignment horizontal="center" vertical="center"/>
    </xf>
    <xf numFmtId="165" fontId="8" fillId="0" borderId="0" xfId="0" applyNumberFormat="1" applyFont="1" applyAlignment="1">
      <alignment horizontal="center" vertical="center"/>
    </xf>
    <xf numFmtId="0" fontId="8" fillId="4" borderId="9" xfId="0" applyNumberFormat="1" applyFont="1" applyFill="1" applyBorder="1" applyAlignment="1">
      <alignment horizontal="center" vertical="center"/>
    </xf>
    <xf numFmtId="167" fontId="8" fillId="0" borderId="0" xfId="0" applyNumberFormat="1" applyFont="1" applyAlignment="1">
      <alignment horizontal="left" vertical="center"/>
    </xf>
    <xf numFmtId="0" fontId="8" fillId="0" borderId="0" xfId="0" applyNumberFormat="1" applyFont="1" applyAlignment="1">
      <alignment horizontal="left" vertical="center"/>
    </xf>
    <xf numFmtId="0" fontId="8" fillId="0" borderId="0" xfId="0" applyNumberFormat="1" applyFont="1" applyAlignment="1">
      <alignment vertical="center"/>
    </xf>
    <xf numFmtId="169" fontId="8" fillId="0" borderId="0" xfId="0" applyFont="1" applyAlignment="1">
      <alignment vertical="center"/>
    </xf>
    <xf numFmtId="0" fontId="20" fillId="0" borderId="0" xfId="0" applyNumberFormat="1" applyFont="1" applyBorder="1" applyAlignment="1">
      <alignment horizontal="left" vertical="center"/>
    </xf>
    <xf numFmtId="15" fontId="20" fillId="0" borderId="0" xfId="0" applyNumberFormat="1" applyFont="1" applyBorder="1" applyAlignment="1">
      <alignment horizontal="center" vertical="center"/>
    </xf>
    <xf numFmtId="0" fontId="20" fillId="0" borderId="0" xfId="0" applyNumberFormat="1" applyFont="1" applyBorder="1" applyAlignment="1">
      <alignment horizontal="center" vertical="center"/>
    </xf>
    <xf numFmtId="165" fontId="20" fillId="0" borderId="0" xfId="0" applyNumberFormat="1" applyFont="1" applyBorder="1" applyAlignment="1">
      <alignment horizontal="center" vertical="center"/>
    </xf>
    <xf numFmtId="167" fontId="20" fillId="0" borderId="0" xfId="0" applyNumberFormat="1" applyFont="1" applyBorder="1" applyAlignment="1">
      <alignment horizontal="center" vertical="center"/>
    </xf>
    <xf numFmtId="0" fontId="20" fillId="0" borderId="0" xfId="0" applyNumberFormat="1" applyFont="1" applyBorder="1" applyAlignment="1">
      <alignment vertical="center"/>
    </xf>
    <xf numFmtId="169" fontId="20" fillId="0" borderId="0" xfId="0" applyFont="1" applyAlignment="1">
      <alignment vertical="center"/>
    </xf>
    <xf numFmtId="169" fontId="8" fillId="0" borderId="6" xfId="0" applyFont="1" applyBorder="1" applyAlignment="1">
      <alignment vertical="center"/>
    </xf>
    <xf numFmtId="169" fontId="9" fillId="0" borderId="6" xfId="0" applyFont="1" applyBorder="1" applyAlignment="1">
      <alignment vertical="center"/>
    </xf>
    <xf numFmtId="15" fontId="8" fillId="0" borderId="10" xfId="0" applyNumberFormat="1" applyFont="1" applyBorder="1" applyAlignment="1">
      <alignment horizontal="center" vertical="center"/>
    </xf>
    <xf numFmtId="0" fontId="8" fillId="0" borderId="10" xfId="0" applyNumberFormat="1" applyFont="1" applyBorder="1" applyAlignment="1">
      <alignment horizontal="center" vertical="center"/>
    </xf>
    <xf numFmtId="165" fontId="8" fillId="0" borderId="10" xfId="0" applyNumberFormat="1" applyFont="1" applyBorder="1" applyAlignment="1">
      <alignment horizontal="center" vertical="center"/>
    </xf>
    <xf numFmtId="167" fontId="8" fillId="0" borderId="10" xfId="0" applyNumberFormat="1" applyFont="1" applyBorder="1" applyAlignment="1">
      <alignment horizontal="center" vertical="center"/>
    </xf>
    <xf numFmtId="0" fontId="8" fillId="0" borderId="10" xfId="0" quotePrefix="1" applyNumberFormat="1" applyFont="1" applyBorder="1" applyAlignment="1">
      <alignment horizontal="center" vertical="center"/>
    </xf>
    <xf numFmtId="0" fontId="8" fillId="0" borderId="10" xfId="0" quotePrefix="1" applyNumberFormat="1" applyFont="1" applyFill="1" applyBorder="1" applyAlignment="1">
      <alignment vertical="center"/>
    </xf>
    <xf numFmtId="0" fontId="8" fillId="0" borderId="5" xfId="0" applyNumberFormat="1" applyFont="1" applyBorder="1" applyAlignment="1">
      <alignment horizontal="center" vertical="center"/>
    </xf>
    <xf numFmtId="1" fontId="8" fillId="0" borderId="0" xfId="0" applyNumberFormat="1" applyFont="1" applyBorder="1" applyAlignment="1">
      <alignment vertical="center"/>
    </xf>
    <xf numFmtId="0" fontId="8" fillId="0" borderId="1" xfId="0" applyNumberFormat="1" applyFont="1" applyBorder="1" applyAlignment="1">
      <alignment horizontal="left" vertical="center"/>
    </xf>
    <xf numFmtId="0" fontId="8" fillId="0" borderId="4" xfId="0" applyNumberFormat="1" applyFont="1" applyBorder="1" applyAlignment="1">
      <alignment vertical="center"/>
    </xf>
    <xf numFmtId="168" fontId="8" fillId="0" borderId="4" xfId="0" applyNumberFormat="1" applyFont="1" applyBorder="1" applyAlignment="1">
      <alignment horizontal="right" vertical="center"/>
    </xf>
    <xf numFmtId="0" fontId="8" fillId="0" borderId="4" xfId="0" applyNumberFormat="1" applyFont="1" applyBorder="1" applyAlignment="1">
      <alignment horizontal="left" vertical="center"/>
    </xf>
    <xf numFmtId="0" fontId="8" fillId="0" borderId="4" xfId="0" applyNumberFormat="1" applyFont="1" applyBorder="1" applyAlignment="1">
      <alignment horizontal="center" vertical="center"/>
    </xf>
    <xf numFmtId="165" fontId="8" fillId="0" borderId="4" xfId="0" applyNumberFormat="1" applyFont="1" applyBorder="1" applyAlignment="1">
      <alignment horizontal="center" vertical="center"/>
    </xf>
    <xf numFmtId="169" fontId="8" fillId="0" borderId="4" xfId="0" applyNumberFormat="1" applyFont="1" applyBorder="1" applyAlignment="1">
      <alignment horizontal="center" vertical="center"/>
    </xf>
    <xf numFmtId="164" fontId="8" fillId="0" borderId="4" xfId="0" applyNumberFormat="1" applyFont="1" applyBorder="1" applyAlignment="1">
      <alignment horizontal="right" vertical="center"/>
    </xf>
    <xf numFmtId="2" fontId="8" fillId="0" borderId="4" xfId="0" applyNumberFormat="1" applyFont="1" applyBorder="1" applyAlignment="1">
      <alignment horizontal="center" vertical="center"/>
    </xf>
    <xf numFmtId="167" fontId="8" fillId="0" borderId="4" xfId="0" applyNumberFormat="1" applyFont="1" applyBorder="1" applyAlignment="1">
      <alignment horizontal="center" vertical="center"/>
    </xf>
    <xf numFmtId="169" fontId="8" fillId="0" borderId="2" xfId="0" applyFont="1" applyBorder="1" applyAlignment="1">
      <alignment vertical="center"/>
    </xf>
    <xf numFmtId="169" fontId="8" fillId="0" borderId="2" xfId="0" applyNumberFormat="1" applyFont="1" applyBorder="1" applyAlignment="1">
      <alignment vertical="center"/>
    </xf>
    <xf numFmtId="0" fontId="9" fillId="0" borderId="0" xfId="0" applyNumberFormat="1" applyFont="1" applyAlignment="1">
      <alignment vertical="center"/>
    </xf>
    <xf numFmtId="168" fontId="8" fillId="0" borderId="0" xfId="0" applyNumberFormat="1" applyFont="1" applyAlignment="1">
      <alignment horizontal="right" vertical="center"/>
    </xf>
    <xf numFmtId="169" fontId="8" fillId="0" borderId="0" xfId="0" applyNumberFormat="1" applyFont="1" applyAlignment="1">
      <alignment horizontal="center" vertical="center"/>
    </xf>
    <xf numFmtId="165" fontId="8" fillId="0" borderId="0" xfId="0" applyNumberFormat="1" applyFont="1" applyAlignment="1">
      <alignment horizontal="right" vertical="center"/>
    </xf>
    <xf numFmtId="164" fontId="8" fillId="0" borderId="0" xfId="0" applyNumberFormat="1" applyFont="1" applyAlignment="1">
      <alignment horizontal="right" vertical="center"/>
    </xf>
    <xf numFmtId="2" fontId="8" fillId="0" borderId="0" xfId="0" applyNumberFormat="1" applyFont="1" applyAlignment="1">
      <alignment horizontal="center" vertical="center"/>
    </xf>
    <xf numFmtId="166" fontId="3" fillId="0" borderId="0" xfId="0" applyNumberFormat="1" applyFont="1" applyAlignment="1">
      <alignment horizontal="right" vertical="center"/>
    </xf>
    <xf numFmtId="164" fontId="10" fillId="0" borderId="0" xfId="0" applyNumberFormat="1" applyFont="1" applyAlignment="1">
      <alignment horizontal="right" vertical="center"/>
    </xf>
    <xf numFmtId="0" fontId="10" fillId="0" borderId="0" xfId="0" applyNumberFormat="1" applyFont="1" applyAlignment="1">
      <alignment horizontal="center" vertical="center"/>
    </xf>
    <xf numFmtId="169" fontId="8" fillId="0" borderId="0" xfId="0" applyNumberFormat="1" applyFont="1" applyAlignment="1">
      <alignment vertical="center"/>
    </xf>
    <xf numFmtId="164" fontId="8" fillId="0" borderId="0" xfId="0" applyNumberFormat="1" applyFont="1" applyAlignment="1">
      <alignment horizontal="center" vertical="center"/>
    </xf>
    <xf numFmtId="1" fontId="8" fillId="0" borderId="0" xfId="0" applyNumberFormat="1" applyFont="1" applyAlignment="1">
      <alignment vertical="center"/>
    </xf>
    <xf numFmtId="0" fontId="9" fillId="0" borderId="0" xfId="0" applyNumberFormat="1" applyFont="1" applyAlignment="1">
      <alignment horizontal="left" vertical="center"/>
    </xf>
    <xf numFmtId="165" fontId="8" fillId="0" borderId="0" xfId="0" applyNumberFormat="1" applyFont="1" applyAlignment="1">
      <alignment vertical="center"/>
    </xf>
    <xf numFmtId="168" fontId="9" fillId="0" borderId="0" xfId="0" applyNumberFormat="1" applyFont="1" applyAlignment="1">
      <alignment horizontal="right" vertical="center"/>
    </xf>
    <xf numFmtId="9" fontId="8" fillId="0" borderId="0" xfId="1" applyFont="1" applyAlignment="1">
      <alignment horizontal="center" vertical="center"/>
    </xf>
    <xf numFmtId="164" fontId="9" fillId="0" borderId="0" xfId="0" applyNumberFormat="1" applyFont="1" applyAlignment="1">
      <alignment horizontal="right" vertical="center"/>
    </xf>
    <xf numFmtId="166" fontId="8" fillId="0" borderId="0" xfId="0" applyNumberFormat="1" applyFont="1" applyAlignment="1">
      <alignment horizontal="center" vertical="center"/>
    </xf>
    <xf numFmtId="169" fontId="9" fillId="0" borderId="0" xfId="0" applyFont="1" applyAlignment="1">
      <alignment vertical="center"/>
    </xf>
    <xf numFmtId="1" fontId="9" fillId="0" borderId="0" xfId="0" applyNumberFormat="1" applyFont="1" applyAlignment="1">
      <alignment vertical="center"/>
    </xf>
    <xf numFmtId="0" fontId="9" fillId="0" borderId="0" xfId="0" applyNumberFormat="1" applyFont="1" applyAlignment="1">
      <alignment horizontal="center" vertical="center"/>
    </xf>
    <xf numFmtId="0" fontId="9" fillId="0" borderId="0" xfId="1" applyNumberFormat="1" applyFont="1" applyAlignment="1">
      <alignment horizontal="center" vertical="center"/>
    </xf>
    <xf numFmtId="169" fontId="9" fillId="0" borderId="0" xfId="0" applyNumberFormat="1" applyFont="1" applyAlignment="1">
      <alignment horizontal="center" vertical="center"/>
    </xf>
    <xf numFmtId="2" fontId="9" fillId="0" borderId="0" xfId="0" applyNumberFormat="1" applyFont="1" applyAlignment="1">
      <alignment horizontal="center" vertical="center"/>
    </xf>
    <xf numFmtId="166" fontId="13" fillId="0" borderId="0" xfId="0" applyNumberFormat="1" applyFont="1" applyAlignment="1">
      <alignment horizontal="right" vertical="center"/>
    </xf>
    <xf numFmtId="164" fontId="13" fillId="0" borderId="0" xfId="0" applyNumberFormat="1" applyFont="1" applyAlignment="1">
      <alignment horizontal="right" vertical="center"/>
    </xf>
    <xf numFmtId="169" fontId="9" fillId="0" borderId="0" xfId="0" applyNumberFormat="1" applyFont="1" applyAlignment="1">
      <alignment vertical="center"/>
    </xf>
    <xf numFmtId="164" fontId="9" fillId="0" borderId="0" xfId="0" applyNumberFormat="1" applyFont="1" applyAlignment="1">
      <alignment horizontal="center" vertical="center"/>
    </xf>
    <xf numFmtId="0" fontId="21" fillId="0" borderId="0" xfId="0" applyNumberFormat="1" applyFont="1" applyAlignment="1">
      <alignment horizontal="left" vertical="center"/>
    </xf>
    <xf numFmtId="9" fontId="21" fillId="0" borderId="0" xfId="1" applyFont="1" applyAlignment="1">
      <alignment horizontal="center" vertical="center"/>
    </xf>
    <xf numFmtId="0" fontId="8" fillId="0" borderId="0" xfId="0" applyNumberFormat="1" applyFont="1" applyAlignment="1">
      <alignment horizontal="right" vertical="center"/>
    </xf>
    <xf numFmtId="165" fontId="1" fillId="0" borderId="0" xfId="0" applyNumberFormat="1" applyFont="1" applyAlignment="1">
      <alignment horizontal="right" vertical="center"/>
    </xf>
    <xf numFmtId="166" fontId="8" fillId="0" borderId="0" xfId="0" applyNumberFormat="1" applyFont="1" applyAlignment="1">
      <alignment horizontal="right" vertical="center"/>
    </xf>
    <xf numFmtId="164" fontId="8" fillId="0" borderId="5" xfId="0" applyNumberFormat="1" applyFont="1" applyBorder="1" applyAlignment="1">
      <alignment horizontal="left" vertical="center"/>
    </xf>
    <xf numFmtId="168" fontId="8" fillId="0" borderId="0" xfId="0" applyNumberFormat="1" applyFont="1" applyAlignment="1">
      <alignment horizontal="left" vertical="center"/>
    </xf>
    <xf numFmtId="165" fontId="1" fillId="0" borderId="0" xfId="0" applyNumberFormat="1" applyFont="1" applyAlignment="1">
      <alignment horizontal="center" vertical="center"/>
    </xf>
    <xf numFmtId="169" fontId="1" fillId="0" borderId="0" xfId="0" applyNumberFormat="1" applyFont="1" applyAlignment="1">
      <alignment horizontal="center" vertical="center"/>
    </xf>
    <xf numFmtId="165" fontId="9" fillId="0" borderId="0" xfId="0" applyNumberFormat="1" applyFont="1" applyAlignment="1">
      <alignment horizontal="right" vertical="center"/>
    </xf>
    <xf numFmtId="165" fontId="9" fillId="0" borderId="0" xfId="0" applyNumberFormat="1" applyFont="1" applyAlignment="1">
      <alignment horizontal="center" vertical="center"/>
    </xf>
    <xf numFmtId="2" fontId="1" fillId="0" borderId="0" xfId="0" applyNumberFormat="1" applyFont="1" applyAlignment="1">
      <alignment horizontal="center" vertical="center"/>
    </xf>
    <xf numFmtId="166" fontId="1" fillId="0" borderId="0" xfId="0" applyNumberFormat="1" applyFont="1" applyAlignment="1">
      <alignment horizontal="center" vertical="center"/>
    </xf>
    <xf numFmtId="165" fontId="1" fillId="0" borderId="0" xfId="0" applyNumberFormat="1" applyFont="1" applyAlignment="1">
      <alignment vertical="center"/>
    </xf>
    <xf numFmtId="169" fontId="1" fillId="0" borderId="0" xfId="0" applyFont="1" applyAlignment="1">
      <alignment vertical="center"/>
    </xf>
    <xf numFmtId="164" fontId="1" fillId="0" borderId="0" xfId="0" applyNumberFormat="1" applyFont="1" applyAlignment="1">
      <alignment horizontal="center" vertical="center"/>
    </xf>
    <xf numFmtId="0" fontId="1" fillId="0" borderId="0" xfId="0" applyNumberFormat="1" applyFont="1" applyAlignment="1">
      <alignment vertical="center"/>
    </xf>
    <xf numFmtId="1" fontId="1" fillId="0" borderId="0" xfId="0" applyNumberFormat="1" applyFont="1" applyAlignment="1">
      <alignment vertical="center"/>
    </xf>
    <xf numFmtId="169" fontId="8" fillId="0" borderId="7" xfId="0" applyFont="1" applyBorder="1" applyAlignment="1">
      <alignment vertical="center"/>
    </xf>
    <xf numFmtId="169" fontId="8" fillId="0" borderId="7" xfId="0" applyFont="1" applyBorder="1" applyAlignment="1">
      <alignment horizontal="center" vertical="center"/>
    </xf>
    <xf numFmtId="9" fontId="8" fillId="0" borderId="7" xfId="1" applyFont="1" applyBorder="1" applyAlignment="1">
      <alignment horizontal="center" vertical="center"/>
    </xf>
    <xf numFmtId="169" fontId="8" fillId="0" borderId="7" xfId="0" applyNumberFormat="1" applyFont="1" applyBorder="1" applyAlignment="1">
      <alignment horizontal="center" vertical="center"/>
    </xf>
    <xf numFmtId="0" fontId="8" fillId="0" borderId="0" xfId="1" applyNumberFormat="1" applyFont="1" applyAlignment="1">
      <alignment horizontal="center" vertical="center"/>
    </xf>
    <xf numFmtId="168" fontId="1" fillId="0" borderId="0" xfId="0" applyNumberFormat="1" applyFont="1" applyAlignment="1">
      <alignment horizontal="right" vertical="center"/>
    </xf>
    <xf numFmtId="0" fontId="14" fillId="0" borderId="0" xfId="0" applyNumberFormat="1" applyFont="1" applyAlignment="1">
      <alignment vertical="center"/>
    </xf>
    <xf numFmtId="0" fontId="8" fillId="2" borderId="3" xfId="0" applyNumberFormat="1" applyFont="1" applyFill="1" applyBorder="1" applyAlignment="1">
      <alignment vertical="center"/>
    </xf>
    <xf numFmtId="169" fontId="2" fillId="0" borderId="0" xfId="0" applyNumberFormat="1" applyFont="1" applyAlignment="1">
      <alignment vertical="center"/>
    </xf>
    <xf numFmtId="169" fontId="1" fillId="0" borderId="5" xfId="0" applyNumberFormat="1" applyFont="1" applyBorder="1" applyAlignment="1">
      <alignment horizontal="right" vertical="center"/>
    </xf>
    <xf numFmtId="169" fontId="5" fillId="0" borderId="0" xfId="0" applyNumberFormat="1" applyFont="1" applyAlignment="1">
      <alignment horizontal="center" vertical="center"/>
    </xf>
    <xf numFmtId="9" fontId="8" fillId="2" borderId="1" xfId="1" applyFont="1" applyFill="1" applyBorder="1" applyAlignment="1"/>
    <xf numFmtId="9" fontId="8" fillId="3" borderId="1" xfId="1" applyFont="1" applyFill="1" applyBorder="1" applyAlignment="1"/>
    <xf numFmtId="169" fontId="2" fillId="0" borderId="0" xfId="0" applyNumberFormat="1" applyFont="1" applyAlignment="1">
      <alignment horizontal="center"/>
    </xf>
    <xf numFmtId="9" fontId="8" fillId="0" borderId="1" xfId="1" applyFont="1" applyFill="1" applyBorder="1" applyAlignment="1">
      <alignment horizontal="center"/>
    </xf>
    <xf numFmtId="169" fontId="8" fillId="0" borderId="0" xfId="0" applyNumberFormat="1" applyFont="1" applyFill="1" applyAlignment="1">
      <alignment horizontal="center"/>
    </xf>
    <xf numFmtId="169" fontId="16" fillId="0" borderId="0" xfId="2" applyNumberFormat="1" applyFont="1" applyAlignment="1">
      <alignment horizontal="center"/>
    </xf>
    <xf numFmtId="9" fontId="8" fillId="2" borderId="1" xfId="1" applyFont="1" applyFill="1" applyBorder="1" applyAlignment="1">
      <alignment horizontal="center"/>
    </xf>
    <xf numFmtId="9" fontId="8" fillId="3" borderId="1" xfId="1" applyFont="1" applyFill="1" applyBorder="1" applyAlignment="1">
      <alignment horizontal="center"/>
    </xf>
    <xf numFmtId="169" fontId="8" fillId="0" borderId="0" xfId="2" applyNumberFormat="1" applyFont="1" applyFill="1" applyAlignment="1">
      <alignment horizontal="center"/>
    </xf>
    <xf numFmtId="169" fontId="8" fillId="0" borderId="0" xfId="2" applyNumberFormat="1" applyFont="1" applyAlignment="1">
      <alignment horizontal="center"/>
    </xf>
    <xf numFmtId="169" fontId="9" fillId="0" borderId="0" xfId="2" applyNumberFormat="1" applyFont="1" applyAlignment="1">
      <alignment horizontal="center"/>
    </xf>
    <xf numFmtId="0" fontId="15" fillId="0" borderId="2" xfId="0" applyNumberFormat="1" applyFont="1" applyBorder="1" applyAlignment="1">
      <alignment horizontal="left" wrapText="1"/>
    </xf>
    <xf numFmtId="47" fontId="8" fillId="0" borderId="10" xfId="0" applyNumberFormat="1" applyFont="1" applyBorder="1" applyAlignment="1">
      <alignment horizontal="center" vertical="center"/>
    </xf>
    <xf numFmtId="0" fontId="23" fillId="0" borderId="0" xfId="0" applyNumberFormat="1" applyFont="1" applyAlignment="1">
      <alignment horizontal="left"/>
    </xf>
    <xf numFmtId="0" fontId="9" fillId="0" borderId="0" xfId="0" applyNumberFormat="1" applyFont="1" applyAlignment="1">
      <alignment horizontal="right" vertical="center"/>
    </xf>
    <xf numFmtId="0" fontId="24" fillId="0" borderId="0" xfId="0" applyNumberFormat="1" applyFont="1" applyAlignment="1">
      <alignment vertical="center"/>
    </xf>
    <xf numFmtId="169" fontId="8" fillId="0" borderId="0" xfId="0" applyFont="1" applyAlignment="1"/>
    <xf numFmtId="9" fontId="8" fillId="0" borderId="0" xfId="1" applyFont="1" applyFill="1" applyBorder="1" applyAlignment="1">
      <alignment horizontal="center"/>
    </xf>
    <xf numFmtId="0" fontId="8" fillId="0" borderId="1" xfId="0" applyNumberFormat="1" applyFont="1" applyFill="1" applyBorder="1" applyAlignment="1"/>
    <xf numFmtId="0" fontId="8" fillId="0" borderId="1" xfId="0" applyNumberFormat="1" applyFont="1" applyFill="1" applyBorder="1" applyAlignment="1">
      <alignment horizontal="left"/>
    </xf>
    <xf numFmtId="169" fontId="8" fillId="0" borderId="0" xfId="0" applyNumberFormat="1" applyFont="1" applyFill="1"/>
    <xf numFmtId="0" fontId="8" fillId="0" borderId="5" xfId="0" applyNumberFormat="1" applyFont="1" applyBorder="1" applyAlignment="1">
      <alignment vertical="center"/>
    </xf>
    <xf numFmtId="0" fontId="8" fillId="0" borderId="1" xfId="0" applyNumberFormat="1" applyFont="1" applyFill="1" applyBorder="1"/>
    <xf numFmtId="168" fontId="8" fillId="0" borderId="1" xfId="0" applyNumberFormat="1" applyFont="1" applyFill="1" applyBorder="1"/>
    <xf numFmtId="164" fontId="8" fillId="0" borderId="1" xfId="0" applyNumberFormat="1" applyFont="1" applyFill="1" applyBorder="1" applyAlignment="1"/>
    <xf numFmtId="164" fontId="8" fillId="0" borderId="1" xfId="2" applyNumberFormat="1" applyFont="1" applyFill="1" applyBorder="1" applyAlignment="1"/>
    <xf numFmtId="9" fontId="8" fillId="0" borderId="1" xfId="1" applyFont="1" applyFill="1" applyBorder="1" applyAlignment="1"/>
    <xf numFmtId="169" fontId="8" fillId="0" borderId="1" xfId="0" applyFont="1" applyFill="1" applyBorder="1"/>
    <xf numFmtId="169" fontId="8" fillId="0" borderId="0" xfId="0" applyFont="1" applyFill="1" applyBorder="1"/>
    <xf numFmtId="169" fontId="8" fillId="0" borderId="0" xfId="0" applyFont="1" applyFill="1"/>
    <xf numFmtId="168" fontId="8" fillId="0" borderId="1" xfId="0" applyNumberFormat="1" applyFont="1" applyFill="1" applyBorder="1" applyAlignment="1">
      <alignment horizontal="right"/>
    </xf>
    <xf numFmtId="0" fontId="25" fillId="0" borderId="1" xfId="0" applyNumberFormat="1" applyFont="1" applyBorder="1"/>
    <xf numFmtId="0" fontId="8" fillId="6" borderId="1" xfId="0" applyNumberFormat="1" applyFont="1" applyFill="1" applyBorder="1"/>
    <xf numFmtId="168" fontId="8" fillId="6" borderId="1" xfId="0" applyNumberFormat="1" applyFont="1" applyFill="1" applyBorder="1"/>
    <xf numFmtId="164" fontId="8" fillId="6" borderId="1" xfId="0" applyNumberFormat="1" applyFont="1" applyFill="1" applyBorder="1" applyAlignment="1"/>
    <xf numFmtId="0" fontId="8" fillId="6" borderId="1" xfId="0" applyNumberFormat="1" applyFont="1" applyFill="1" applyBorder="1" applyAlignment="1"/>
    <xf numFmtId="164" fontId="8" fillId="6" borderId="1" xfId="2" applyNumberFormat="1" applyFont="1" applyFill="1" applyBorder="1" applyAlignment="1"/>
    <xf numFmtId="9" fontId="8" fillId="6" borderId="1" xfId="1" applyFont="1" applyFill="1" applyBorder="1" applyAlignment="1"/>
    <xf numFmtId="0" fontId="8" fillId="6" borderId="1" xfId="0" applyNumberFormat="1" applyFont="1" applyFill="1" applyBorder="1" applyAlignment="1">
      <alignment horizontal="left"/>
    </xf>
    <xf numFmtId="168" fontId="8" fillId="6" borderId="1" xfId="0" applyNumberFormat="1" applyFont="1" applyFill="1" applyBorder="1" applyAlignment="1">
      <alignment horizontal="right"/>
    </xf>
    <xf numFmtId="0" fontId="8" fillId="6" borderId="1" xfId="0" applyNumberFormat="1" applyFont="1" applyFill="1" applyBorder="1" applyAlignment="1">
      <alignment horizontal="left" vertical="top"/>
    </xf>
    <xf numFmtId="169" fontId="8" fillId="6" borderId="1" xfId="0" applyFont="1" applyFill="1" applyBorder="1"/>
    <xf numFmtId="0" fontId="9" fillId="0" borderId="1" xfId="0" applyNumberFormat="1" applyFont="1" applyBorder="1"/>
    <xf numFmtId="169" fontId="8" fillId="0" borderId="0" xfId="4419" applyFont="1"/>
    <xf numFmtId="169" fontId="8" fillId="0" borderId="0" xfId="4419" applyNumberFormat="1" applyFont="1"/>
    <xf numFmtId="169" fontId="8" fillId="0" borderId="0" xfId="4419" applyNumberFormat="1" applyFont="1" applyAlignment="1"/>
    <xf numFmtId="0" fontId="8" fillId="0" borderId="0" xfId="4419" applyNumberFormat="1" applyFont="1" applyAlignment="1"/>
    <xf numFmtId="164" fontId="8" fillId="0" borderId="0" xfId="4419" applyNumberFormat="1" applyFont="1" applyAlignment="1"/>
    <xf numFmtId="168" fontId="8" fillId="0" borderId="0" xfId="4419" applyNumberFormat="1" applyFont="1"/>
    <xf numFmtId="0" fontId="8" fillId="0" borderId="0" xfId="4419" applyNumberFormat="1" applyFont="1"/>
    <xf numFmtId="169" fontId="8" fillId="0" borderId="0" xfId="4419" applyNumberFormat="1" applyFont="1" applyFill="1" applyAlignment="1"/>
    <xf numFmtId="169" fontId="8" fillId="0" borderId="0" xfId="4419" applyNumberFormat="1" applyFont="1" applyFill="1"/>
    <xf numFmtId="168" fontId="8" fillId="0" borderId="1" xfId="4419" applyNumberFormat="1" applyFont="1" applyBorder="1"/>
    <xf numFmtId="169" fontId="8" fillId="0" borderId="0" xfId="4419" applyNumberFormat="1" applyFont="1" applyFill="1" applyAlignment="1">
      <alignment horizontal="right"/>
    </xf>
    <xf numFmtId="0" fontId="8" fillId="0" borderId="1" xfId="4419" applyNumberFormat="1" applyFont="1" applyFill="1" applyBorder="1" applyAlignment="1"/>
    <xf numFmtId="169" fontId="9" fillId="0" borderId="0" xfId="4419" applyNumberFormat="1" applyFont="1" applyFill="1" applyAlignment="1"/>
    <xf numFmtId="169" fontId="9" fillId="0" borderId="0" xfId="4419" applyFont="1"/>
    <xf numFmtId="169" fontId="9" fillId="0" borderId="0" xfId="4419" applyNumberFormat="1" applyFont="1"/>
    <xf numFmtId="0" fontId="9" fillId="0" borderId="0" xfId="4419" applyNumberFormat="1" applyFont="1"/>
    <xf numFmtId="169" fontId="16" fillId="0" borderId="0" xfId="4419" applyNumberFormat="1" applyFont="1" applyFill="1" applyAlignment="1"/>
    <xf numFmtId="169" fontId="8" fillId="3" borderId="0" xfId="4419" applyFont="1" applyFill="1"/>
    <xf numFmtId="0" fontId="8" fillId="0" borderId="0" xfId="4419" applyNumberFormat="1" applyFont="1" applyBorder="1"/>
    <xf numFmtId="169" fontId="8" fillId="0" borderId="1" xfId="4419" applyFont="1" applyBorder="1"/>
    <xf numFmtId="169" fontId="8" fillId="0" borderId="1" xfId="4419" applyNumberFormat="1" applyFont="1" applyBorder="1"/>
    <xf numFmtId="169" fontId="8" fillId="0" borderId="1" xfId="4419" applyNumberFormat="1" applyFont="1" applyFill="1" applyBorder="1" applyAlignment="1">
      <alignment horizontal="left"/>
    </xf>
    <xf numFmtId="169" fontId="8" fillId="0" borderId="1" xfId="4419" applyNumberFormat="1" applyFont="1" applyFill="1" applyBorder="1" applyAlignment="1">
      <alignment horizontal="right"/>
    </xf>
    <xf numFmtId="0" fontId="8" fillId="0" borderId="1" xfId="4419" applyNumberFormat="1" applyFont="1" applyBorder="1"/>
    <xf numFmtId="169" fontId="16" fillId="0" borderId="1" xfId="4419" applyNumberFormat="1" applyFont="1" applyFill="1" applyBorder="1" applyAlignment="1"/>
    <xf numFmtId="164" fontId="8" fillId="0" borderId="1" xfId="4419" applyNumberFormat="1" applyFont="1" applyFill="1" applyBorder="1" applyAlignment="1">
      <alignment horizontal="right"/>
    </xf>
    <xf numFmtId="169" fontId="9" fillId="0" borderId="0" xfId="4419" applyFont="1" applyAlignment="1">
      <alignment wrapText="1"/>
    </xf>
    <xf numFmtId="169" fontId="9" fillId="0" borderId="2" xfId="4419" applyNumberFormat="1" applyFont="1" applyBorder="1" applyAlignment="1">
      <alignment wrapText="1"/>
    </xf>
    <xf numFmtId="169" fontId="15" fillId="0" borderId="2" xfId="4419" applyNumberFormat="1" applyFont="1" applyBorder="1" applyAlignment="1">
      <alignment wrapText="1"/>
    </xf>
    <xf numFmtId="169" fontId="15" fillId="0" borderId="2" xfId="4419" applyNumberFormat="1" applyFont="1" applyBorder="1" applyAlignment="1">
      <alignment horizontal="center" wrapText="1"/>
    </xf>
    <xf numFmtId="0" fontId="15" fillId="0" borderId="2" xfId="4419" applyNumberFormat="1" applyFont="1" applyBorder="1" applyAlignment="1">
      <alignment horizontal="center" wrapText="1"/>
    </xf>
    <xf numFmtId="164" fontId="15" fillId="0" borderId="2" xfId="4419" applyNumberFormat="1" applyFont="1" applyBorder="1" applyAlignment="1">
      <alignment horizontal="center" wrapText="1"/>
    </xf>
    <xf numFmtId="168" fontId="15" fillId="0" borderId="2" xfId="4419" applyNumberFormat="1" applyFont="1" applyBorder="1" applyAlignment="1">
      <alignment horizontal="center" wrapText="1"/>
    </xf>
    <xf numFmtId="0" fontId="15" fillId="0" borderId="2" xfId="4419" applyNumberFormat="1" applyFont="1" applyBorder="1" applyAlignment="1">
      <alignment wrapText="1"/>
    </xf>
    <xf numFmtId="169" fontId="2" fillId="0" borderId="0" xfId="4419" applyFont="1" applyFill="1"/>
    <xf numFmtId="169" fontId="2" fillId="0" borderId="0" xfId="4419" applyFont="1"/>
    <xf numFmtId="169" fontId="8" fillId="0" borderId="0" xfId="4419" applyNumberFormat="1" applyFont="1" applyAlignment="1">
      <alignment horizontal="left"/>
    </xf>
    <xf numFmtId="169" fontId="2" fillId="0" borderId="0" xfId="4419" applyNumberFormat="1" applyFont="1"/>
    <xf numFmtId="0" fontId="2" fillId="0" borderId="0" xfId="4419" applyNumberFormat="1" applyFont="1"/>
    <xf numFmtId="0" fontId="8" fillId="3" borderId="9" xfId="4419" applyNumberFormat="1" applyFont="1" applyFill="1" applyBorder="1"/>
    <xf numFmtId="168" fontId="8" fillId="2" borderId="9" xfId="4419" applyNumberFormat="1" applyFont="1" applyFill="1" applyBorder="1"/>
    <xf numFmtId="0" fontId="14" fillId="0" borderId="0" xfId="4419" applyNumberFormat="1" applyFont="1"/>
    <xf numFmtId="164" fontId="8" fillId="0" borderId="0" xfId="4419" applyNumberFormat="1" applyFont="1"/>
    <xf numFmtId="168" fontId="8" fillId="0" borderId="0" xfId="4419" applyNumberFormat="1" applyFont="1" applyAlignment="1"/>
    <xf numFmtId="0" fontId="8" fillId="0" borderId="0" xfId="4419" quotePrefix="1" applyNumberFormat="1" applyFont="1"/>
    <xf numFmtId="164" fontId="9" fillId="0" borderId="0" xfId="4419" applyNumberFormat="1" applyFont="1" applyAlignment="1"/>
    <xf numFmtId="168" fontId="9" fillId="0" borderId="0" xfId="4419" applyNumberFormat="1" applyFont="1"/>
    <xf numFmtId="164" fontId="16" fillId="0" borderId="0" xfId="4419" applyNumberFormat="1" applyFont="1" applyAlignment="1"/>
    <xf numFmtId="168" fontId="17" fillId="0" borderId="0" xfId="4419" applyNumberFormat="1" applyFont="1" applyAlignment="1">
      <alignment horizontal="right"/>
    </xf>
    <xf numFmtId="169" fontId="8" fillId="0" borderId="1" xfId="4419" applyNumberFormat="1" applyFont="1" applyFill="1" applyBorder="1"/>
    <xf numFmtId="169" fontId="8" fillId="0" borderId="1" xfId="4419" applyNumberFormat="1" applyFont="1" applyFill="1" applyBorder="1" applyAlignment="1"/>
    <xf numFmtId="164" fontId="8" fillId="0" borderId="1" xfId="4419" applyNumberFormat="1" applyFont="1" applyBorder="1" applyAlignment="1"/>
    <xf numFmtId="169" fontId="8" fillId="3" borderId="9" xfId="4419" applyNumberFormat="1" applyFont="1" applyFill="1" applyBorder="1"/>
    <xf numFmtId="169" fontId="8" fillId="2" borderId="9" xfId="4419" applyNumberFormat="1" applyFont="1" applyFill="1" applyBorder="1"/>
    <xf numFmtId="0" fontId="9" fillId="0" borderId="1" xfId="4419" applyNumberFormat="1" applyFont="1" applyBorder="1"/>
    <xf numFmtId="168" fontId="9" fillId="0" borderId="1" xfId="4419" applyNumberFormat="1" applyFont="1" applyBorder="1"/>
    <xf numFmtId="164" fontId="9" fillId="0" borderId="1" xfId="4419" applyNumberFormat="1" applyFont="1" applyFill="1" applyBorder="1" applyAlignment="1">
      <alignment horizontal="right"/>
    </xf>
    <xf numFmtId="0" fontId="9" fillId="0" borderId="1" xfId="4419" applyNumberFormat="1" applyFont="1" applyFill="1" applyBorder="1" applyAlignment="1"/>
    <xf numFmtId="169" fontId="9" fillId="0" borderId="1" xfId="4419" applyNumberFormat="1" applyFont="1" applyFill="1" applyBorder="1" applyAlignment="1">
      <alignment horizontal="right"/>
    </xf>
    <xf numFmtId="169" fontId="9" fillId="0" borderId="1" xfId="4419" applyNumberFormat="1" applyFont="1" applyBorder="1"/>
    <xf numFmtId="169" fontId="9" fillId="0" borderId="1" xfId="4419" applyFont="1" applyBorder="1"/>
    <xf numFmtId="169" fontId="9" fillId="3" borderId="0" xfId="4419" applyFont="1" applyFill="1"/>
    <xf numFmtId="16" fontId="8" fillId="0" borderId="1" xfId="4419" applyNumberFormat="1" applyFont="1" applyBorder="1"/>
    <xf numFmtId="164" fontId="0" fillId="0" borderId="0" xfId="0" applyNumberFormat="1"/>
    <xf numFmtId="9" fontId="8" fillId="6" borderId="1" xfId="1" applyFont="1" applyFill="1" applyBorder="1" applyAlignment="1">
      <alignment horizontal="right"/>
    </xf>
    <xf numFmtId="9" fontId="8" fillId="0" borderId="1" xfId="1" applyFont="1" applyFill="1" applyBorder="1" applyAlignment="1">
      <alignment horizontal="right"/>
    </xf>
    <xf numFmtId="169" fontId="0" fillId="0" borderId="0" xfId="0" applyAlignment="1">
      <alignment horizontal="right"/>
    </xf>
    <xf numFmtId="0" fontId="9" fillId="0" borderId="0" xfId="0" applyNumberFormat="1" applyFont="1" applyAlignment="1">
      <alignment wrapText="1"/>
    </xf>
    <xf numFmtId="0" fontId="8" fillId="2" borderId="0" xfId="0" applyNumberFormat="1" applyFont="1" applyFill="1"/>
    <xf numFmtId="170" fontId="8" fillId="0" borderId="1" xfId="4419" applyNumberFormat="1" applyFont="1" applyFill="1" applyBorder="1" applyAlignment="1">
      <alignment horizontal="right"/>
    </xf>
    <xf numFmtId="170" fontId="9" fillId="0" borderId="1" xfId="4419" applyNumberFormat="1" applyFont="1" applyFill="1" applyBorder="1" applyAlignment="1">
      <alignment horizontal="right"/>
    </xf>
    <xf numFmtId="0" fontId="8" fillId="7" borderId="5" xfId="0" applyNumberFormat="1" applyFont="1" applyFill="1" applyBorder="1" applyAlignment="1">
      <alignment vertical="center"/>
    </xf>
    <xf numFmtId="168" fontId="8" fillId="7" borderId="5" xfId="0" applyNumberFormat="1" applyFont="1" applyFill="1" applyBorder="1" applyAlignment="1">
      <alignment horizontal="right" vertical="center"/>
    </xf>
    <xf numFmtId="0" fontId="8" fillId="7" borderId="5" xfId="0" applyNumberFormat="1" applyFont="1" applyFill="1" applyBorder="1" applyAlignment="1">
      <alignment horizontal="left" vertical="center"/>
    </xf>
    <xf numFmtId="0" fontId="8" fillId="7" borderId="5" xfId="0" applyNumberFormat="1" applyFont="1" applyFill="1" applyBorder="1" applyAlignment="1">
      <alignment horizontal="center" vertical="center"/>
    </xf>
    <xf numFmtId="165" fontId="8" fillId="7" borderId="5" xfId="0" applyNumberFormat="1" applyFont="1" applyFill="1" applyBorder="1" applyAlignment="1">
      <alignment horizontal="center" vertical="center"/>
    </xf>
    <xf numFmtId="165" fontId="8" fillId="7" borderId="5" xfId="0" applyNumberFormat="1" applyFont="1" applyFill="1" applyBorder="1" applyAlignment="1">
      <alignment horizontal="right" vertical="center"/>
    </xf>
    <xf numFmtId="164" fontId="8" fillId="7" borderId="5" xfId="0" applyNumberFormat="1" applyFont="1" applyFill="1" applyBorder="1" applyAlignment="1">
      <alignment horizontal="right" vertical="center"/>
    </xf>
    <xf numFmtId="2" fontId="8" fillId="7" borderId="5" xfId="0" applyNumberFormat="1" applyFont="1" applyFill="1" applyBorder="1" applyAlignment="1">
      <alignment horizontal="center" vertical="center"/>
    </xf>
    <xf numFmtId="167" fontId="8" fillId="7" borderId="5" xfId="0" applyNumberFormat="1" applyFont="1" applyFill="1" applyBorder="1" applyAlignment="1">
      <alignment horizontal="center" vertical="center"/>
    </xf>
    <xf numFmtId="165" fontId="8" fillId="7" borderId="0" xfId="0" applyNumberFormat="1" applyFont="1" applyFill="1" applyBorder="1" applyAlignment="1">
      <alignment vertical="center"/>
    </xf>
    <xf numFmtId="169" fontId="8" fillId="7" borderId="0" xfId="0" applyFont="1" applyFill="1" applyBorder="1" applyAlignment="1">
      <alignment vertical="center"/>
    </xf>
    <xf numFmtId="169" fontId="8" fillId="7" borderId="0" xfId="0" applyNumberFormat="1" applyFont="1" applyFill="1" applyBorder="1" applyAlignment="1">
      <alignment vertical="center"/>
    </xf>
    <xf numFmtId="1" fontId="8" fillId="7" borderId="0" xfId="0" applyNumberFormat="1" applyFont="1" applyFill="1" applyBorder="1" applyAlignment="1">
      <alignment vertical="center"/>
    </xf>
    <xf numFmtId="0" fontId="8" fillId="0" borderId="5" xfId="0" applyNumberFormat="1" applyFont="1" applyBorder="1" applyAlignment="1">
      <alignment horizontal="left" vertical="center"/>
    </xf>
    <xf numFmtId="165" fontId="12" fillId="5" borderId="5" xfId="0" quotePrefix="1" applyNumberFormat="1" applyFont="1" applyFill="1" applyBorder="1" applyAlignment="1">
      <alignment horizontal="right" vertical="center"/>
    </xf>
    <xf numFmtId="1" fontId="8" fillId="0" borderId="0" xfId="0" applyNumberFormat="1" applyFont="1" applyFill="1" applyBorder="1" applyAlignment="1">
      <alignment vertical="center"/>
    </xf>
    <xf numFmtId="169" fontId="8" fillId="0" borderId="0" xfId="0" applyNumberFormat="1" applyFont="1" applyFill="1" applyBorder="1" applyAlignment="1">
      <alignment vertical="center"/>
    </xf>
    <xf numFmtId="169" fontId="8" fillId="0" borderId="0" xfId="0" applyFont="1" applyFill="1" applyBorder="1" applyAlignment="1">
      <alignment vertical="center"/>
    </xf>
    <xf numFmtId="167" fontId="8" fillId="0" borderId="5" xfId="0" applyNumberFormat="1" applyFont="1" applyFill="1" applyBorder="1" applyAlignment="1">
      <alignment horizontal="center" vertical="center"/>
    </xf>
    <xf numFmtId="164" fontId="8" fillId="0" borderId="5" xfId="0" applyNumberFormat="1" applyFont="1" applyFill="1" applyBorder="1" applyAlignment="1">
      <alignment horizontal="right" vertical="center"/>
    </xf>
    <xf numFmtId="165" fontId="8" fillId="0" borderId="5" xfId="0" quotePrefix="1" applyNumberFormat="1" applyFont="1" applyFill="1" applyBorder="1" applyAlignment="1">
      <alignment horizontal="center" vertical="center"/>
    </xf>
    <xf numFmtId="165" fontId="8" fillId="0" borderId="5"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168" fontId="8" fillId="0" borderId="5" xfId="0" applyNumberFormat="1" applyFont="1" applyFill="1" applyBorder="1" applyAlignment="1">
      <alignment horizontal="right" vertical="center"/>
    </xf>
    <xf numFmtId="0" fontId="8" fillId="0" borderId="5" xfId="0" applyNumberFormat="1" applyFont="1" applyFill="1" applyBorder="1" applyAlignment="1">
      <alignment horizontal="left" vertical="center"/>
    </xf>
    <xf numFmtId="169" fontId="8" fillId="0" borderId="0" xfId="0" applyFont="1" applyBorder="1" applyAlignment="1">
      <alignment vertical="center"/>
    </xf>
    <xf numFmtId="0" fontId="8" fillId="0" borderId="0" xfId="0" applyNumberFormat="1" applyFont="1" applyAlignment="1">
      <alignment horizontal="left" vertical="center"/>
    </xf>
    <xf numFmtId="0" fontId="12" fillId="5" borderId="5" xfId="0" applyNumberFormat="1" applyFont="1" applyFill="1" applyBorder="1" applyAlignment="1">
      <alignment horizontal="left" vertical="center"/>
    </xf>
    <xf numFmtId="168" fontId="12" fillId="5" borderId="5" xfId="0" applyNumberFormat="1" applyFont="1" applyFill="1" applyBorder="1" applyAlignment="1">
      <alignment horizontal="right" vertical="center"/>
    </xf>
    <xf numFmtId="0" fontId="12" fillId="5" borderId="5" xfId="0" applyNumberFormat="1" applyFont="1" applyFill="1" applyBorder="1" applyAlignment="1">
      <alignment horizontal="center" vertical="center"/>
    </xf>
    <xf numFmtId="165" fontId="12" fillId="5" borderId="5" xfId="0" applyNumberFormat="1" applyFont="1" applyFill="1" applyBorder="1" applyAlignment="1">
      <alignment horizontal="center" vertical="center"/>
    </xf>
    <xf numFmtId="169" fontId="12" fillId="5" borderId="5" xfId="0" applyNumberFormat="1" applyFont="1" applyFill="1" applyBorder="1" applyAlignment="1">
      <alignment horizontal="center" vertical="center"/>
    </xf>
    <xf numFmtId="164" fontId="12" fillId="5" borderId="5" xfId="0" applyNumberFormat="1" applyFont="1" applyFill="1" applyBorder="1" applyAlignment="1">
      <alignment horizontal="right" vertical="center"/>
    </xf>
    <xf numFmtId="0" fontId="8" fillId="5" borderId="5" xfId="0" applyNumberFormat="1" applyFont="1" applyFill="1" applyBorder="1" applyAlignment="1">
      <alignment horizontal="center" vertical="center"/>
    </xf>
    <xf numFmtId="2" fontId="8" fillId="5" borderId="5" xfId="0" applyNumberFormat="1" applyFont="1" applyFill="1" applyBorder="1" applyAlignment="1">
      <alignment horizontal="center" vertical="center"/>
    </xf>
    <xf numFmtId="167" fontId="8" fillId="5" borderId="5" xfId="0" applyNumberFormat="1" applyFont="1" applyFill="1" applyBorder="1" applyAlignment="1">
      <alignment horizontal="center" vertical="center"/>
    </xf>
    <xf numFmtId="164" fontId="8" fillId="5" borderId="5" xfId="0" applyNumberFormat="1" applyFont="1" applyFill="1" applyBorder="1" applyAlignment="1">
      <alignment horizontal="center" vertical="center"/>
    </xf>
    <xf numFmtId="165" fontId="8" fillId="5" borderId="5" xfId="0" applyNumberFormat="1" applyFont="1" applyFill="1" applyBorder="1" applyAlignment="1">
      <alignment vertical="center"/>
    </xf>
    <xf numFmtId="169" fontId="8" fillId="5" borderId="0" xfId="0" applyFont="1" applyFill="1" applyBorder="1" applyAlignment="1">
      <alignment vertical="center"/>
    </xf>
    <xf numFmtId="169" fontId="8" fillId="5" borderId="0" xfId="0" applyNumberFormat="1" applyFont="1" applyFill="1" applyBorder="1" applyAlignment="1">
      <alignment vertical="center"/>
    </xf>
    <xf numFmtId="1" fontId="8" fillId="5" borderId="0" xfId="0" applyNumberFormat="1" applyFont="1" applyFill="1" applyBorder="1" applyAlignment="1">
      <alignment vertical="center"/>
    </xf>
    <xf numFmtId="165" fontId="12" fillId="5" borderId="5" xfId="0" quotePrefix="1"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0" fontId="8" fillId="0" borderId="0" xfId="0" applyNumberFormat="1" applyFont="1" applyBorder="1" applyAlignment="1">
      <alignment vertical="center"/>
    </xf>
    <xf numFmtId="165" fontId="8" fillId="0" borderId="4" xfId="0" applyNumberFormat="1" applyFont="1" applyBorder="1" applyAlignment="1">
      <alignment horizontal="right" vertical="center"/>
    </xf>
    <xf numFmtId="0" fontId="8" fillId="0" borderId="6" xfId="0" applyNumberFormat="1" applyFont="1" applyFill="1" applyBorder="1" applyAlignment="1">
      <alignment vertical="center"/>
    </xf>
    <xf numFmtId="15" fontId="8" fillId="0" borderId="6" xfId="0" applyNumberFormat="1" applyFont="1" applyBorder="1" applyAlignment="1">
      <alignment horizontal="center" vertical="center"/>
    </xf>
    <xf numFmtId="0" fontId="8" fillId="0" borderId="6" xfId="0" applyNumberFormat="1" applyFont="1" applyBorder="1" applyAlignment="1">
      <alignment horizontal="center" vertical="center"/>
    </xf>
    <xf numFmtId="165" fontId="8" fillId="0" borderId="6" xfId="0" applyNumberFormat="1" applyFont="1" applyBorder="1" applyAlignment="1">
      <alignment horizontal="center" vertical="center"/>
    </xf>
    <xf numFmtId="167" fontId="8" fillId="0" borderId="6" xfId="0" applyNumberFormat="1" applyFont="1" applyBorder="1" applyAlignment="1">
      <alignment horizontal="center" vertical="center"/>
    </xf>
    <xf numFmtId="0" fontId="8" fillId="0" borderId="6" xfId="0" quotePrefix="1" applyNumberFormat="1" applyFont="1" applyBorder="1" applyAlignment="1">
      <alignment horizontal="center" vertical="center"/>
    </xf>
    <xf numFmtId="0" fontId="8" fillId="0" borderId="6" xfId="0" quotePrefix="1" applyNumberFormat="1" applyFont="1" applyFill="1" applyBorder="1" applyAlignment="1">
      <alignment vertical="center"/>
    </xf>
    <xf numFmtId="0" fontId="9" fillId="0" borderId="6" xfId="0" applyNumberFormat="1" applyFont="1" applyFill="1" applyBorder="1" applyAlignment="1">
      <alignment vertical="center"/>
    </xf>
    <xf numFmtId="15" fontId="9" fillId="0" borderId="6" xfId="0" applyNumberFormat="1" applyFont="1" applyBorder="1" applyAlignment="1">
      <alignment horizontal="center" vertical="center"/>
    </xf>
    <xf numFmtId="0" fontId="9" fillId="0" borderId="6" xfId="0" applyNumberFormat="1" applyFont="1" applyBorder="1" applyAlignment="1">
      <alignment horizontal="center" vertical="center"/>
    </xf>
    <xf numFmtId="165" fontId="9" fillId="0" borderId="6" xfId="0" applyNumberFormat="1" applyFont="1" applyBorder="1" applyAlignment="1">
      <alignment horizontal="center" vertical="center"/>
    </xf>
    <xf numFmtId="167" fontId="9" fillId="0" borderId="6" xfId="0" applyNumberFormat="1" applyFont="1" applyBorder="1" applyAlignment="1">
      <alignment horizontal="center" vertical="center"/>
    </xf>
    <xf numFmtId="0" fontId="9" fillId="0" borderId="6" xfId="0" quotePrefix="1" applyNumberFormat="1" applyFont="1" applyBorder="1" applyAlignment="1">
      <alignment horizontal="center" vertical="center"/>
    </xf>
    <xf numFmtId="0" fontId="9" fillId="0" borderId="6" xfId="0" quotePrefix="1" applyNumberFormat="1" applyFont="1" applyFill="1" applyBorder="1" applyAlignment="1">
      <alignment vertical="center"/>
    </xf>
    <xf numFmtId="16" fontId="8" fillId="0" borderId="6" xfId="0" quotePrefix="1" applyNumberFormat="1" applyFont="1" applyBorder="1" applyAlignment="1">
      <alignment horizontal="center" vertical="center"/>
    </xf>
    <xf numFmtId="0" fontId="8" fillId="0" borderId="1" xfId="4419" applyNumberFormat="1" applyFont="1" applyFill="1" applyBorder="1" applyAlignment="1">
      <alignment horizontal="left"/>
    </xf>
    <xf numFmtId="0" fontId="9" fillId="0" borderId="1" xfId="4419" applyNumberFormat="1" applyFont="1" applyFill="1" applyBorder="1" applyAlignment="1">
      <alignment horizontal="left"/>
    </xf>
    <xf numFmtId="165" fontId="8" fillId="0" borderId="5" xfId="0" quotePrefix="1" applyNumberFormat="1" applyFont="1" applyFill="1" applyBorder="1" applyAlignment="1">
      <alignment horizontal="right" vertical="center"/>
    </xf>
    <xf numFmtId="0" fontId="8" fillId="0" borderId="11" xfId="0" applyNumberFormat="1" applyFont="1" applyFill="1" applyBorder="1"/>
    <xf numFmtId="0" fontId="8" fillId="0" borderId="11" xfId="0" applyNumberFormat="1" applyFont="1" applyFill="1" applyBorder="1" applyAlignment="1"/>
    <xf numFmtId="9" fontId="8" fillId="0" borderId="1" xfId="4419" applyNumberFormat="1" applyFont="1" applyFill="1" applyBorder="1" applyAlignment="1">
      <alignment horizontal="right"/>
    </xf>
    <xf numFmtId="9" fontId="9" fillId="0" borderId="1" xfId="4419" applyNumberFormat="1" applyFont="1" applyFill="1" applyBorder="1" applyAlignment="1">
      <alignment horizontal="right"/>
    </xf>
    <xf numFmtId="169" fontId="8" fillId="0" borderId="1" xfId="0" applyNumberFormat="1" applyFont="1" applyFill="1" applyBorder="1" applyAlignment="1">
      <alignment horizontal="left"/>
    </xf>
    <xf numFmtId="169" fontId="8" fillId="0" borderId="0" xfId="0" applyNumberFormat="1" applyFont="1" applyFill="1" applyBorder="1" applyAlignment="1">
      <alignment horizontal="left"/>
    </xf>
    <xf numFmtId="0" fontId="28" fillId="0" borderId="0" xfId="0" applyNumberFormat="1" applyFont="1" applyAlignment="1">
      <alignment horizontal="left" vertical="center"/>
    </xf>
    <xf numFmtId="0" fontId="29" fillId="0" borderId="0" xfId="0" applyNumberFormat="1" applyFont="1" applyAlignment="1">
      <alignment horizontal="left" vertical="center"/>
    </xf>
    <xf numFmtId="164" fontId="29" fillId="0" borderId="0" xfId="0" applyNumberFormat="1" applyFont="1" applyAlignment="1">
      <alignment horizontal="left" vertical="center"/>
    </xf>
    <xf numFmtId="9" fontId="28" fillId="0" borderId="0" xfId="1" applyFont="1" applyAlignment="1">
      <alignment horizontal="center" vertical="center"/>
    </xf>
    <xf numFmtId="9" fontId="28" fillId="0" borderId="0" xfId="1" applyFont="1" applyAlignment="1">
      <alignment horizontal="right" vertical="center"/>
    </xf>
    <xf numFmtId="47" fontId="8" fillId="0" borderId="6" xfId="0" applyNumberFormat="1" applyFont="1" applyBorder="1" applyAlignment="1">
      <alignment horizontal="center" vertical="center"/>
    </xf>
    <xf numFmtId="166" fontId="9" fillId="0" borderId="0" xfId="0" applyNumberFormat="1" applyFont="1" applyAlignment="1">
      <alignment horizontal="right" vertical="center"/>
    </xf>
    <xf numFmtId="164" fontId="8" fillId="0" borderId="0" xfId="0" applyNumberFormat="1" applyFont="1" applyFill="1" applyBorder="1" applyAlignment="1"/>
    <xf numFmtId="164" fontId="8" fillId="0" borderId="11" xfId="0" applyNumberFormat="1" applyFont="1" applyFill="1" applyBorder="1" applyAlignment="1"/>
    <xf numFmtId="0" fontId="8" fillId="0" borderId="5" xfId="0" applyNumberFormat="1" applyFont="1" applyFill="1" applyBorder="1" applyAlignment="1">
      <alignment vertical="center"/>
    </xf>
    <xf numFmtId="2" fontId="8" fillId="0" borderId="5" xfId="0" applyNumberFormat="1" applyFont="1" applyFill="1" applyBorder="1" applyAlignment="1">
      <alignment horizontal="center" vertical="center"/>
    </xf>
    <xf numFmtId="165" fontId="8" fillId="0" borderId="0" xfId="0" applyNumberFormat="1" applyFont="1" applyFill="1" applyBorder="1" applyAlignment="1">
      <alignment vertical="center"/>
    </xf>
    <xf numFmtId="165" fontId="8" fillId="0" borderId="5" xfId="0" applyNumberFormat="1" applyFont="1" applyFill="1" applyBorder="1" applyAlignment="1">
      <alignment horizontal="right" vertical="center"/>
    </xf>
    <xf numFmtId="0" fontId="8" fillId="0" borderId="0" xfId="0" applyNumberFormat="1" applyFont="1" applyBorder="1" applyAlignment="1">
      <alignment horizontal="left" vertical="center"/>
    </xf>
    <xf numFmtId="9" fontId="2" fillId="0" borderId="0" xfId="1" applyFont="1" applyAlignment="1"/>
    <xf numFmtId="9" fontId="2" fillId="0" borderId="0" xfId="1" applyNumberFormat="1" applyFont="1" applyAlignment="1"/>
    <xf numFmtId="0" fontId="30" fillId="0" borderId="0" xfId="0" applyNumberFormat="1" applyFont="1" applyAlignment="1">
      <alignment vertical="center"/>
    </xf>
    <xf numFmtId="0" fontId="8" fillId="0" borderId="1" xfId="0" applyNumberFormat="1" applyFont="1" applyBorder="1" applyAlignment="1">
      <alignment vertical="center"/>
    </xf>
    <xf numFmtId="0" fontId="8" fillId="6" borderId="1" xfId="0" applyNumberFormat="1" applyFont="1" applyFill="1" applyBorder="1" applyAlignment="1">
      <alignment vertical="center"/>
    </xf>
    <xf numFmtId="0" fontId="8" fillId="6" borderId="1" xfId="0" applyNumberFormat="1" applyFont="1" applyFill="1" applyBorder="1" applyAlignment="1">
      <alignment horizontal="left" vertical="center"/>
    </xf>
    <xf numFmtId="0" fontId="25" fillId="0" borderId="0" xfId="0" applyNumberFormat="1" applyFont="1" applyBorder="1"/>
    <xf numFmtId="164" fontId="8" fillId="0" borderId="0" xfId="0" applyNumberFormat="1" applyFont="1" applyAlignment="1">
      <alignment horizontal="left" vertical="center"/>
    </xf>
    <xf numFmtId="169" fontId="1" fillId="0" borderId="0" xfId="0" applyFont="1" applyAlignment="1">
      <alignment horizontal="left" vertical="center"/>
    </xf>
    <xf numFmtId="0" fontId="8" fillId="0" borderId="0" xfId="4419" applyNumberFormat="1" applyFont="1" applyAlignment="1">
      <alignment horizontal="center"/>
    </xf>
    <xf numFmtId="0" fontId="8" fillId="3" borderId="9" xfId="4419" applyNumberFormat="1" applyFont="1" applyFill="1" applyBorder="1" applyAlignment="1">
      <alignment horizontal="center"/>
    </xf>
    <xf numFmtId="0" fontId="8" fillId="0" borderId="1" xfId="4419" applyNumberFormat="1" applyFont="1" applyFill="1" applyBorder="1" applyAlignment="1">
      <alignment horizontal="center"/>
    </xf>
    <xf numFmtId="0" fontId="8" fillId="0" borderId="0" xfId="4419" applyNumberFormat="1" applyFont="1" applyFill="1" applyAlignment="1">
      <alignment horizontal="center"/>
    </xf>
    <xf numFmtId="16" fontId="8" fillId="0" borderId="10" xfId="0" applyNumberFormat="1" applyFont="1" applyFill="1" applyBorder="1" applyAlignment="1">
      <alignment vertical="center"/>
    </xf>
    <xf numFmtId="164" fontId="8" fillId="0" borderId="1" xfId="1" applyNumberFormat="1" applyFont="1" applyFill="1" applyBorder="1" applyAlignment="1">
      <alignment horizontal="right"/>
    </xf>
    <xf numFmtId="169" fontId="16" fillId="0" borderId="1" xfId="4419" applyNumberFormat="1" applyFont="1" applyFill="1" applyBorder="1" applyAlignment="1">
      <alignment horizontal="right"/>
    </xf>
    <xf numFmtId="169" fontId="8" fillId="0" borderId="0" xfId="4419" applyNumberFormat="1" applyFont="1" applyAlignment="1">
      <alignment horizontal="right"/>
    </xf>
    <xf numFmtId="16" fontId="9" fillId="0" borderId="10" xfId="0" applyNumberFormat="1" applyFont="1" applyFill="1" applyBorder="1" applyAlignment="1">
      <alignment vertical="center"/>
    </xf>
    <xf numFmtId="15" fontId="9" fillId="0" borderId="10" xfId="0" applyNumberFormat="1" applyFont="1" applyBorder="1" applyAlignment="1">
      <alignment horizontal="center" vertical="center"/>
    </xf>
    <xf numFmtId="0" fontId="9" fillId="0" borderId="10" xfId="0" applyNumberFormat="1" applyFont="1" applyBorder="1" applyAlignment="1">
      <alignment horizontal="center" vertical="center"/>
    </xf>
    <xf numFmtId="165" fontId="9" fillId="0" borderId="10" xfId="0" applyNumberFormat="1" applyFont="1" applyBorder="1" applyAlignment="1">
      <alignment horizontal="center" vertical="center"/>
    </xf>
    <xf numFmtId="47" fontId="9" fillId="0" borderId="10" xfId="0" applyNumberFormat="1" applyFont="1" applyBorder="1" applyAlignment="1">
      <alignment horizontal="center" vertical="center"/>
    </xf>
    <xf numFmtId="167" fontId="9" fillId="0" borderId="10" xfId="0" applyNumberFormat="1" applyFont="1" applyBorder="1" applyAlignment="1">
      <alignment horizontal="center" vertical="center"/>
    </xf>
    <xf numFmtId="0" fontId="9" fillId="0" borderId="10" xfId="0" quotePrefix="1" applyNumberFormat="1" applyFont="1" applyBorder="1" applyAlignment="1">
      <alignment horizontal="center" vertical="center"/>
    </xf>
    <xf numFmtId="0" fontId="9" fillId="0" borderId="10" xfId="0" quotePrefix="1" applyNumberFormat="1" applyFont="1" applyFill="1" applyBorder="1" applyAlignment="1">
      <alignment vertical="center"/>
    </xf>
    <xf numFmtId="16" fontId="8" fillId="0" borderId="6" xfId="0" applyNumberFormat="1" applyFont="1" applyFill="1" applyBorder="1" applyAlignment="1">
      <alignment vertical="center"/>
    </xf>
    <xf numFmtId="16" fontId="8" fillId="0" borderId="6" xfId="0" applyNumberFormat="1" applyFont="1" applyBorder="1" applyAlignment="1">
      <alignment horizontal="center" vertical="center"/>
    </xf>
    <xf numFmtId="17" fontId="9" fillId="0" borderId="6" xfId="0" quotePrefix="1" applyNumberFormat="1" applyFont="1" applyBorder="1" applyAlignment="1">
      <alignment horizontal="center" vertical="center"/>
    </xf>
    <xf numFmtId="2" fontId="8" fillId="0" borderId="5" xfId="0" quotePrefix="1" applyNumberFormat="1" applyFont="1" applyFill="1" applyBorder="1" applyAlignment="1">
      <alignment horizontal="center" vertical="center"/>
    </xf>
    <xf numFmtId="17" fontId="8" fillId="0" borderId="6" xfId="0" quotePrefix="1" applyNumberFormat="1" applyFont="1" applyBorder="1" applyAlignment="1">
      <alignment horizontal="center" vertical="center"/>
    </xf>
    <xf numFmtId="0" fontId="31" fillId="0" borderId="0" xfId="0" applyNumberFormat="1" applyFont="1" applyAlignment="1">
      <alignment horizontal="left" vertical="center"/>
    </xf>
    <xf numFmtId="169" fontId="8" fillId="0" borderId="12" xfId="0" applyFont="1" applyBorder="1" applyAlignment="1">
      <alignment vertical="center"/>
    </xf>
    <xf numFmtId="169" fontId="9" fillId="0" borderId="12" xfId="0" applyFont="1" applyBorder="1" applyAlignment="1">
      <alignment vertical="center"/>
    </xf>
    <xf numFmtId="0" fontId="8" fillId="0" borderId="13" xfId="0" applyNumberFormat="1" applyFont="1" applyFill="1" applyBorder="1" applyAlignment="1">
      <alignment vertical="center"/>
    </xf>
    <xf numFmtId="15" fontId="8" fillId="0" borderId="13" xfId="0" applyNumberFormat="1" applyFont="1" applyBorder="1" applyAlignment="1">
      <alignment horizontal="center" vertical="center"/>
    </xf>
    <xf numFmtId="0" fontId="8" fillId="0" borderId="13" xfId="0" applyNumberFormat="1" applyFont="1" applyBorder="1" applyAlignment="1">
      <alignment horizontal="center" vertical="center"/>
    </xf>
    <xf numFmtId="165" fontId="8" fillId="0" borderId="13" xfId="0" applyNumberFormat="1" applyFont="1" applyBorder="1" applyAlignment="1">
      <alignment horizontal="center" vertical="center"/>
    </xf>
    <xf numFmtId="167" fontId="8" fillId="0" borderId="13" xfId="0" applyNumberFormat="1" applyFont="1" applyBorder="1" applyAlignment="1">
      <alignment horizontal="center" vertical="center"/>
    </xf>
    <xf numFmtId="0" fontId="8" fillId="0" borderId="13" xfId="0" quotePrefix="1" applyNumberFormat="1" applyFont="1" applyBorder="1" applyAlignment="1">
      <alignment horizontal="center" vertical="center"/>
    </xf>
    <xf numFmtId="0" fontId="8" fillId="0" borderId="13" xfId="0" quotePrefix="1" applyNumberFormat="1" applyFont="1" applyFill="1" applyBorder="1" applyAlignment="1">
      <alignment vertical="center"/>
    </xf>
    <xf numFmtId="0" fontId="8" fillId="0" borderId="14" xfId="0" applyNumberFormat="1" applyFont="1" applyFill="1" applyBorder="1" applyAlignment="1">
      <alignment vertical="center"/>
    </xf>
    <xf numFmtId="15" fontId="8" fillId="0" borderId="14" xfId="0" applyNumberFormat="1" applyFont="1" applyBorder="1" applyAlignment="1">
      <alignment horizontal="center" vertical="center"/>
    </xf>
    <xf numFmtId="0" fontId="8" fillId="0" borderId="14" xfId="0" applyNumberFormat="1" applyFont="1" applyBorder="1" applyAlignment="1">
      <alignment horizontal="center" vertical="center"/>
    </xf>
    <xf numFmtId="165" fontId="8" fillId="0" borderId="14" xfId="0" applyNumberFormat="1" applyFont="1" applyBorder="1" applyAlignment="1">
      <alignment horizontal="center" vertical="center"/>
    </xf>
    <xf numFmtId="167" fontId="8" fillId="0" borderId="14" xfId="0" applyNumberFormat="1" applyFont="1" applyBorder="1" applyAlignment="1">
      <alignment horizontal="center" vertical="center"/>
    </xf>
    <xf numFmtId="0" fontId="8" fillId="0" borderId="14" xfId="0" quotePrefix="1" applyNumberFormat="1" applyFont="1" applyBorder="1" applyAlignment="1">
      <alignment horizontal="center" vertical="center"/>
    </xf>
    <xf numFmtId="0" fontId="8" fillId="0" borderId="14" xfId="0" quotePrefix="1" applyNumberFormat="1" applyFont="1" applyFill="1" applyBorder="1" applyAlignment="1">
      <alignment vertical="center"/>
    </xf>
    <xf numFmtId="0" fontId="8" fillId="0" borderId="15" xfId="0" applyNumberFormat="1" applyFont="1" applyFill="1" applyBorder="1" applyAlignment="1">
      <alignment vertical="center"/>
    </xf>
    <xf numFmtId="15" fontId="8" fillId="0" borderId="16" xfId="0" applyNumberFormat="1" applyFont="1" applyBorder="1" applyAlignment="1">
      <alignment horizontal="center" vertical="center"/>
    </xf>
    <xf numFmtId="0" fontId="8" fillId="0" borderId="16" xfId="0" applyNumberFormat="1" applyFont="1" applyBorder="1" applyAlignment="1">
      <alignment horizontal="center" vertical="center"/>
    </xf>
    <xf numFmtId="165" fontId="8" fillId="0" borderId="16" xfId="0" applyNumberFormat="1" applyFont="1" applyBorder="1" applyAlignment="1">
      <alignment horizontal="center" vertical="center"/>
    </xf>
    <xf numFmtId="167" fontId="8" fillId="0" borderId="16" xfId="0" applyNumberFormat="1" applyFont="1" applyBorder="1" applyAlignment="1">
      <alignment horizontal="center" vertical="center"/>
    </xf>
    <xf numFmtId="0" fontId="8" fillId="0" borderId="16" xfId="0" quotePrefix="1" applyNumberFormat="1" applyFont="1" applyBorder="1" applyAlignment="1">
      <alignment horizontal="center" vertical="center"/>
    </xf>
    <xf numFmtId="0" fontId="8" fillId="0" borderId="17" xfId="0" quotePrefix="1" applyNumberFormat="1" applyFont="1" applyFill="1" applyBorder="1" applyAlignment="1">
      <alignment vertical="center"/>
    </xf>
    <xf numFmtId="0" fontId="8" fillId="0" borderId="18" xfId="0" applyNumberFormat="1" applyFont="1" applyFill="1" applyBorder="1" applyAlignment="1">
      <alignment vertical="center"/>
    </xf>
    <xf numFmtId="0" fontId="8" fillId="0" borderId="19" xfId="0" quotePrefix="1" applyNumberFormat="1" applyFont="1" applyFill="1" applyBorder="1" applyAlignment="1">
      <alignment vertical="center"/>
    </xf>
    <xf numFmtId="0" fontId="9" fillId="0" borderId="20" xfId="0" applyNumberFormat="1" applyFont="1" applyFill="1" applyBorder="1" applyAlignment="1">
      <alignment vertical="center"/>
    </xf>
    <xf numFmtId="15" fontId="9" fillId="0" borderId="21" xfId="0" applyNumberFormat="1" applyFont="1" applyBorder="1" applyAlignment="1">
      <alignment horizontal="center" vertical="center"/>
    </xf>
    <xf numFmtId="0" fontId="9" fillId="0" borderId="21" xfId="0" applyNumberFormat="1" applyFont="1" applyBorder="1" applyAlignment="1">
      <alignment horizontal="center" vertical="center"/>
    </xf>
    <xf numFmtId="165" fontId="9" fillId="0" borderId="21" xfId="0" applyNumberFormat="1" applyFont="1" applyBorder="1" applyAlignment="1">
      <alignment horizontal="center" vertical="center"/>
    </xf>
    <xf numFmtId="167" fontId="9" fillId="0" borderId="21" xfId="0" applyNumberFormat="1" applyFont="1" applyBorder="1" applyAlignment="1">
      <alignment horizontal="center" vertical="center"/>
    </xf>
    <xf numFmtId="0" fontId="9" fillId="0" borderId="21" xfId="0" quotePrefix="1" applyNumberFormat="1" applyFont="1" applyBorder="1" applyAlignment="1">
      <alignment horizontal="center" vertical="center"/>
    </xf>
    <xf numFmtId="0" fontId="9" fillId="0" borderId="22" xfId="0" quotePrefix="1" applyNumberFormat="1" applyFont="1" applyFill="1" applyBorder="1" applyAlignment="1">
      <alignment vertical="center"/>
    </xf>
    <xf numFmtId="0" fontId="8" fillId="8" borderId="6" xfId="0" applyNumberFormat="1" applyFont="1" applyFill="1" applyBorder="1" applyAlignment="1">
      <alignment vertical="center"/>
    </xf>
    <xf numFmtId="15" fontId="8" fillId="8" borderId="6" xfId="0" applyNumberFormat="1" applyFont="1" applyFill="1" applyBorder="1" applyAlignment="1">
      <alignment horizontal="center" vertical="center"/>
    </xf>
    <xf numFmtId="0" fontId="8" fillId="8" borderId="6" xfId="0" applyNumberFormat="1" applyFont="1" applyFill="1" applyBorder="1" applyAlignment="1">
      <alignment horizontal="center" vertical="center"/>
    </xf>
    <xf numFmtId="165" fontId="8" fillId="8" borderId="6" xfId="0" applyNumberFormat="1" applyFont="1" applyFill="1" applyBorder="1" applyAlignment="1">
      <alignment horizontal="center" vertical="center"/>
    </xf>
    <xf numFmtId="167" fontId="8" fillId="8" borderId="6" xfId="0" applyNumberFormat="1" applyFont="1" applyFill="1" applyBorder="1" applyAlignment="1">
      <alignment horizontal="center" vertical="center"/>
    </xf>
    <xf numFmtId="0" fontId="8" fillId="8" borderId="6" xfId="0" quotePrefix="1" applyNumberFormat="1" applyFont="1" applyFill="1" applyBorder="1" applyAlignment="1">
      <alignment horizontal="center" vertical="center"/>
    </xf>
    <xf numFmtId="0" fontId="8" fillId="8" borderId="6" xfId="0" quotePrefix="1" applyNumberFormat="1" applyFont="1" applyFill="1" applyBorder="1" applyAlignment="1">
      <alignment vertical="center"/>
    </xf>
    <xf numFmtId="169" fontId="8" fillId="8" borderId="6" xfId="0" applyFont="1" applyFill="1" applyBorder="1" applyAlignment="1">
      <alignment vertical="center"/>
    </xf>
    <xf numFmtId="0" fontId="12" fillId="0" borderId="5" xfId="0" applyNumberFormat="1" applyFont="1" applyFill="1" applyBorder="1" applyAlignment="1">
      <alignment horizontal="center" vertical="center"/>
    </xf>
    <xf numFmtId="16" fontId="8" fillId="0" borderId="14" xfId="0" applyNumberFormat="1" applyFont="1" applyFill="1" applyBorder="1" applyAlignment="1">
      <alignment vertical="center"/>
    </xf>
    <xf numFmtId="47" fontId="8" fillId="0" borderId="14" xfId="0" applyNumberFormat="1" applyFont="1" applyBorder="1" applyAlignment="1">
      <alignment horizontal="center" vertical="center"/>
    </xf>
    <xf numFmtId="165" fontId="8" fillId="0" borderId="5" xfId="0" applyNumberFormat="1" applyFont="1" applyFill="1" applyBorder="1" applyAlignment="1">
      <alignment vertical="center"/>
    </xf>
    <xf numFmtId="165" fontId="8" fillId="0" borderId="5" xfId="0" quotePrefix="1" applyNumberFormat="1" applyFont="1" applyFill="1" applyBorder="1" applyAlignment="1">
      <alignment vertical="center"/>
    </xf>
    <xf numFmtId="168" fontId="8" fillId="0" borderId="5" xfId="0" applyNumberFormat="1" applyFont="1" applyBorder="1" applyAlignment="1">
      <alignment horizontal="right" vertical="center"/>
    </xf>
    <xf numFmtId="165" fontId="8" fillId="0" borderId="5" xfId="0" applyNumberFormat="1" applyFont="1" applyBorder="1" applyAlignment="1">
      <alignment horizontal="center" vertical="center"/>
    </xf>
    <xf numFmtId="169" fontId="8" fillId="0" borderId="5" xfId="0" applyNumberFormat="1" applyFont="1" applyBorder="1" applyAlignment="1">
      <alignment horizontal="center" vertical="center"/>
    </xf>
    <xf numFmtId="165" fontId="8" fillId="0" borderId="5" xfId="0" applyNumberFormat="1" applyFont="1" applyBorder="1" applyAlignment="1">
      <alignment horizontal="right" vertical="center"/>
    </xf>
    <xf numFmtId="164" fontId="8" fillId="0" borderId="5" xfId="0" applyNumberFormat="1" applyFont="1" applyBorder="1" applyAlignment="1">
      <alignment horizontal="right" vertical="center"/>
    </xf>
    <xf numFmtId="2" fontId="8" fillId="0" borderId="5" xfId="0" applyNumberFormat="1" applyFont="1" applyBorder="1" applyAlignment="1">
      <alignment horizontal="center" vertical="center"/>
    </xf>
    <xf numFmtId="167" fontId="8" fillId="0" borderId="5" xfId="0" applyNumberFormat="1" applyFont="1" applyBorder="1" applyAlignment="1">
      <alignment horizontal="center" vertical="center"/>
    </xf>
    <xf numFmtId="169" fontId="8" fillId="0" borderId="0" xfId="0" applyNumberFormat="1" applyFont="1" applyBorder="1" applyAlignment="1">
      <alignment vertical="center"/>
    </xf>
    <xf numFmtId="0" fontId="9" fillId="8" borderId="6" xfId="0" applyNumberFormat="1" applyFont="1" applyFill="1" applyBorder="1" applyAlignment="1">
      <alignment vertical="center"/>
    </xf>
    <xf numFmtId="15" fontId="9" fillId="8" borderId="6" xfId="0" applyNumberFormat="1" applyFont="1" applyFill="1" applyBorder="1" applyAlignment="1">
      <alignment horizontal="center" vertical="center"/>
    </xf>
    <xf numFmtId="0" fontId="9" fillId="8" borderId="6" xfId="0" applyNumberFormat="1" applyFont="1" applyFill="1" applyBorder="1" applyAlignment="1">
      <alignment horizontal="center" vertical="center"/>
    </xf>
    <xf numFmtId="165" fontId="9" fillId="8" borderId="6"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0" fontId="9" fillId="8" borderId="6" xfId="0" quotePrefix="1" applyNumberFormat="1" applyFont="1" applyFill="1" applyBorder="1" applyAlignment="1">
      <alignment horizontal="center" vertical="center"/>
    </xf>
    <xf numFmtId="0" fontId="9" fillId="8" borderId="6" xfId="0" quotePrefix="1" applyNumberFormat="1" applyFont="1" applyFill="1" applyBorder="1" applyAlignment="1">
      <alignment vertical="center"/>
    </xf>
    <xf numFmtId="169" fontId="9" fillId="8" borderId="6" xfId="0" applyFont="1" applyFill="1" applyBorder="1" applyAlignment="1">
      <alignment vertical="center"/>
    </xf>
    <xf numFmtId="165" fontId="0" fillId="0" borderId="0" xfId="0" applyNumberFormat="1" applyFont="1" applyAlignment="1">
      <alignment horizontal="right" vertical="center"/>
    </xf>
    <xf numFmtId="16" fontId="9" fillId="0" borderId="14" xfId="0" applyNumberFormat="1" applyFont="1" applyFill="1" applyBorder="1" applyAlignment="1">
      <alignment vertical="center"/>
    </xf>
    <xf numFmtId="15" fontId="9" fillId="0" borderId="14" xfId="0" applyNumberFormat="1" applyFont="1" applyBorder="1" applyAlignment="1">
      <alignment horizontal="center" vertical="center"/>
    </xf>
    <xf numFmtId="0" fontId="9" fillId="0" borderId="14" xfId="0" applyNumberFormat="1" applyFont="1" applyBorder="1" applyAlignment="1">
      <alignment horizontal="center" vertical="center"/>
    </xf>
    <xf numFmtId="165" fontId="9" fillId="0" borderId="14" xfId="0" applyNumberFormat="1" applyFont="1" applyBorder="1" applyAlignment="1">
      <alignment horizontal="center" vertical="center"/>
    </xf>
    <xf numFmtId="47" fontId="9" fillId="0" borderId="14" xfId="0" applyNumberFormat="1" applyFont="1" applyBorder="1" applyAlignment="1">
      <alignment horizontal="center" vertical="center"/>
    </xf>
    <xf numFmtId="167" fontId="9" fillId="0" borderId="14" xfId="0" applyNumberFormat="1" applyFont="1" applyBorder="1" applyAlignment="1">
      <alignment horizontal="center" vertical="center"/>
    </xf>
    <xf numFmtId="0" fontId="9" fillId="0" borderId="14" xfId="0" quotePrefix="1" applyNumberFormat="1" applyFont="1" applyBorder="1" applyAlignment="1">
      <alignment horizontal="center" vertical="center"/>
    </xf>
    <xf numFmtId="0" fontId="9" fillId="0" borderId="14" xfId="0" quotePrefix="1" applyNumberFormat="1" applyFont="1" applyFill="1" applyBorder="1" applyAlignment="1">
      <alignment vertical="center"/>
    </xf>
    <xf numFmtId="9" fontId="8" fillId="3" borderId="1" xfId="1" applyFont="1" applyFill="1" applyBorder="1" applyAlignment="1">
      <alignment horizontal="right"/>
    </xf>
    <xf numFmtId="164" fontId="8" fillId="0" borderId="4" xfId="0" applyNumberFormat="1" applyFont="1" applyFill="1" applyBorder="1" applyAlignment="1">
      <alignment horizontal="right" vertical="center"/>
    </xf>
    <xf numFmtId="0" fontId="8" fillId="9" borderId="23" xfId="0" applyNumberFormat="1" applyFont="1" applyFill="1" applyBorder="1" applyAlignment="1">
      <alignment horizontal="center" vertical="center"/>
    </xf>
    <xf numFmtId="2" fontId="8" fillId="9" borderId="24" xfId="0" applyNumberFormat="1" applyFont="1" applyFill="1" applyBorder="1" applyAlignment="1">
      <alignment horizontal="center" vertical="center"/>
    </xf>
    <xf numFmtId="167" fontId="8" fillId="9" borderId="24" xfId="0" applyNumberFormat="1" applyFont="1" applyFill="1" applyBorder="1" applyAlignment="1">
      <alignment horizontal="center" vertical="center"/>
    </xf>
    <xf numFmtId="164" fontId="8" fillId="9" borderId="24" xfId="0" applyNumberFormat="1" applyFont="1" applyFill="1" applyBorder="1" applyAlignment="1">
      <alignment horizontal="center" vertical="center"/>
    </xf>
    <xf numFmtId="169" fontId="8" fillId="0" borderId="0" xfId="0" applyNumberFormat="1" applyFont="1" applyAlignment="1">
      <alignment horizontal="left"/>
    </xf>
    <xf numFmtId="169" fontId="8" fillId="0" borderId="5" xfId="0" applyNumberFormat="1" applyFont="1" applyFill="1" applyBorder="1" applyAlignment="1">
      <alignment horizontal="center" vertical="center"/>
    </xf>
    <xf numFmtId="171" fontId="1" fillId="0" borderId="0" xfId="0" applyNumberFormat="1" applyFont="1" applyAlignment="1">
      <alignment vertical="center"/>
    </xf>
    <xf numFmtId="0" fontId="8" fillId="5" borderId="5" xfId="0" quotePrefix="1" applyNumberFormat="1" applyFont="1" applyFill="1" applyBorder="1" applyAlignment="1">
      <alignment horizontal="center" vertical="center"/>
    </xf>
    <xf numFmtId="165" fontId="8" fillId="7" borderId="5" xfId="0" quotePrefix="1" applyNumberFormat="1" applyFont="1" applyFill="1" applyBorder="1" applyAlignment="1">
      <alignment horizontal="center" vertical="center"/>
    </xf>
    <xf numFmtId="165" fontId="8" fillId="0" borderId="0" xfId="0" quotePrefix="1" applyNumberFormat="1" applyFont="1" applyFill="1" applyBorder="1" applyAlignment="1">
      <alignment vertical="center"/>
    </xf>
    <xf numFmtId="172" fontId="9" fillId="0" borderId="0" xfId="0" applyNumberFormat="1" applyFont="1" applyAlignment="1">
      <alignment horizontal="left" vertical="center"/>
    </xf>
    <xf numFmtId="0" fontId="9" fillId="0" borderId="14" xfId="0" quotePrefix="1" applyNumberFormat="1" applyFont="1" applyFill="1" applyBorder="1" applyAlignment="1">
      <alignment vertical="center" wrapText="1"/>
    </xf>
    <xf numFmtId="169" fontId="8" fillId="0" borderId="5" xfId="0" applyFont="1" applyFill="1" applyBorder="1" applyAlignment="1">
      <alignment horizontal="center" vertical="center"/>
    </xf>
    <xf numFmtId="168" fontId="0" fillId="0" borderId="0" xfId="0" quotePrefix="1" applyNumberFormat="1" applyFont="1" applyAlignment="1">
      <alignment horizontal="left"/>
    </xf>
    <xf numFmtId="0" fontId="8" fillId="0" borderId="25" xfId="0" quotePrefix="1" applyNumberFormat="1" applyFont="1" applyBorder="1" applyAlignment="1">
      <alignment horizontal="center" vertical="center"/>
    </xf>
    <xf numFmtId="0" fontId="22" fillId="0" borderId="0" xfId="0" applyNumberFormat="1" applyFont="1" applyAlignment="1">
      <alignment horizontal="center" vertical="center"/>
    </xf>
    <xf numFmtId="0" fontId="8" fillId="0" borderId="13" xfId="0" quotePrefix="1" applyNumberFormat="1" applyFont="1" applyFill="1" applyBorder="1" applyAlignment="1">
      <alignment vertical="center" wrapText="1"/>
    </xf>
    <xf numFmtId="0" fontId="8" fillId="0" borderId="14" xfId="0" quotePrefix="1" applyNumberFormat="1" applyFont="1" applyFill="1" applyBorder="1" applyAlignment="1">
      <alignment vertical="center" wrapText="1"/>
    </xf>
  </cellXfs>
  <cellStyles count="5577">
    <cellStyle name="Currency" xfId="2"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5"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2112" builtinId="9" hidden="1"/>
    <cellStyle name="Followed Hyperlink" xfId="2114" builtinId="9" hidden="1"/>
    <cellStyle name="Followed Hyperlink" xfId="2116" builtinId="9" hidden="1"/>
    <cellStyle name="Followed Hyperlink" xfId="2118" builtinId="9" hidden="1"/>
    <cellStyle name="Followed Hyperlink" xfId="2120" builtinId="9" hidden="1"/>
    <cellStyle name="Followed Hyperlink" xfId="2122" builtinId="9" hidden="1"/>
    <cellStyle name="Followed Hyperlink" xfId="2124" builtinId="9" hidden="1"/>
    <cellStyle name="Followed Hyperlink" xfId="2126" builtinId="9" hidden="1"/>
    <cellStyle name="Followed Hyperlink" xfId="2128" builtinId="9" hidden="1"/>
    <cellStyle name="Followed Hyperlink" xfId="2130" builtinId="9" hidden="1"/>
    <cellStyle name="Followed Hyperlink" xfId="2132" builtinId="9" hidden="1"/>
    <cellStyle name="Followed Hyperlink" xfId="2134" builtinId="9" hidden="1"/>
    <cellStyle name="Followed Hyperlink" xfId="2136"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8" builtinId="9" hidden="1"/>
    <cellStyle name="Followed Hyperlink" xfId="2170" builtinId="9" hidden="1"/>
    <cellStyle name="Followed Hyperlink" xfId="2172" builtinId="9" hidden="1"/>
    <cellStyle name="Followed Hyperlink" xfId="2174" builtinId="9" hidden="1"/>
    <cellStyle name="Followed Hyperlink" xfId="2176" builtinId="9" hidden="1"/>
    <cellStyle name="Followed Hyperlink" xfId="2178" builtinId="9" hidden="1"/>
    <cellStyle name="Followed Hyperlink" xfId="2180" builtinId="9" hidden="1"/>
    <cellStyle name="Followed Hyperlink" xfId="2182" builtinId="9" hidden="1"/>
    <cellStyle name="Followed Hyperlink" xfId="2184" builtinId="9" hidden="1"/>
    <cellStyle name="Followed Hyperlink" xfId="2186" builtinId="9" hidden="1"/>
    <cellStyle name="Followed Hyperlink" xfId="2188" builtinId="9" hidden="1"/>
    <cellStyle name="Followed Hyperlink" xfId="2190" builtinId="9" hidden="1"/>
    <cellStyle name="Followed Hyperlink" xfId="2192" builtinId="9" hidden="1"/>
    <cellStyle name="Followed Hyperlink" xfId="2194" builtinId="9" hidden="1"/>
    <cellStyle name="Followed Hyperlink" xfId="2196" builtinId="9" hidden="1"/>
    <cellStyle name="Followed Hyperlink" xfId="2198" builtinId="9" hidden="1"/>
    <cellStyle name="Followed Hyperlink" xfId="2200" builtinId="9" hidden="1"/>
    <cellStyle name="Followed Hyperlink" xfId="2202" builtinId="9" hidden="1"/>
    <cellStyle name="Followed Hyperlink" xfId="2204" builtinId="9" hidden="1"/>
    <cellStyle name="Followed Hyperlink" xfId="2206" builtinId="9" hidden="1"/>
    <cellStyle name="Followed Hyperlink" xfId="2208" builtinId="9" hidden="1"/>
    <cellStyle name="Followed Hyperlink" xfId="2210" builtinId="9" hidden="1"/>
    <cellStyle name="Followed Hyperlink" xfId="2212" builtinId="9" hidden="1"/>
    <cellStyle name="Followed Hyperlink" xfId="2214" builtinId="9" hidden="1"/>
    <cellStyle name="Followed Hyperlink" xfId="2216" builtinId="9" hidden="1"/>
    <cellStyle name="Followed Hyperlink" xfId="2218" builtinId="9" hidden="1"/>
    <cellStyle name="Followed Hyperlink" xfId="2220" builtinId="9" hidden="1"/>
    <cellStyle name="Followed Hyperlink" xfId="2222" builtinId="9" hidden="1"/>
    <cellStyle name="Followed Hyperlink" xfId="2224" builtinId="9" hidden="1"/>
    <cellStyle name="Followed Hyperlink" xfId="2226" builtinId="9" hidden="1"/>
    <cellStyle name="Followed Hyperlink" xfId="2228" builtinId="9" hidden="1"/>
    <cellStyle name="Followed Hyperlink" xfId="2230" builtinId="9" hidden="1"/>
    <cellStyle name="Followed Hyperlink" xfId="2232" builtinId="9" hidden="1"/>
    <cellStyle name="Followed Hyperlink" xfId="2234" builtinId="9" hidden="1"/>
    <cellStyle name="Followed Hyperlink" xfId="2236" builtinId="9" hidden="1"/>
    <cellStyle name="Followed Hyperlink" xfId="2238" builtinId="9" hidden="1"/>
    <cellStyle name="Followed Hyperlink" xfId="2240" builtinId="9" hidden="1"/>
    <cellStyle name="Followed Hyperlink" xfId="2242" builtinId="9" hidden="1"/>
    <cellStyle name="Followed Hyperlink" xfId="2244" builtinId="9" hidden="1"/>
    <cellStyle name="Followed Hyperlink" xfId="2246" builtinId="9" hidden="1"/>
    <cellStyle name="Followed Hyperlink" xfId="2248" builtinId="9" hidden="1"/>
    <cellStyle name="Followed Hyperlink" xfId="2250" builtinId="9" hidden="1"/>
    <cellStyle name="Followed Hyperlink" xfId="2252" builtinId="9" hidden="1"/>
    <cellStyle name="Followed Hyperlink" xfId="2254" builtinId="9" hidden="1"/>
    <cellStyle name="Followed Hyperlink" xfId="2256" builtinId="9" hidden="1"/>
    <cellStyle name="Followed Hyperlink" xfId="2258" builtinId="9" hidden="1"/>
    <cellStyle name="Followed Hyperlink" xfId="2260" builtinId="9" hidden="1"/>
    <cellStyle name="Followed Hyperlink" xfId="2262" builtinId="9" hidden="1"/>
    <cellStyle name="Followed Hyperlink" xfId="2264" builtinId="9" hidden="1"/>
    <cellStyle name="Followed Hyperlink" xfId="2266" builtinId="9" hidden="1"/>
    <cellStyle name="Followed Hyperlink" xfId="2268" builtinId="9" hidden="1"/>
    <cellStyle name="Followed Hyperlink" xfId="2270" builtinId="9" hidden="1"/>
    <cellStyle name="Followed Hyperlink" xfId="2272" builtinId="9" hidden="1"/>
    <cellStyle name="Followed Hyperlink" xfId="2274" builtinId="9" hidden="1"/>
    <cellStyle name="Followed Hyperlink" xfId="2276" builtinId="9" hidden="1"/>
    <cellStyle name="Followed Hyperlink" xfId="2278" builtinId="9" hidden="1"/>
    <cellStyle name="Followed Hyperlink" xfId="2280" builtinId="9" hidden="1"/>
    <cellStyle name="Followed Hyperlink" xfId="2282" builtinId="9" hidden="1"/>
    <cellStyle name="Followed Hyperlink" xfId="2284" builtinId="9" hidden="1"/>
    <cellStyle name="Followed Hyperlink" xfId="2286" builtinId="9" hidden="1"/>
    <cellStyle name="Followed Hyperlink" xfId="2288" builtinId="9" hidden="1"/>
    <cellStyle name="Followed Hyperlink" xfId="2290" builtinId="9" hidden="1"/>
    <cellStyle name="Followed Hyperlink" xfId="2292" builtinId="9" hidden="1"/>
    <cellStyle name="Followed Hyperlink" xfId="2294" builtinId="9" hidden="1"/>
    <cellStyle name="Followed Hyperlink" xfId="2296" builtinId="9" hidden="1"/>
    <cellStyle name="Followed Hyperlink" xfId="2298" builtinId="9" hidden="1"/>
    <cellStyle name="Followed Hyperlink" xfId="2300" builtinId="9" hidden="1"/>
    <cellStyle name="Followed Hyperlink" xfId="2302" builtinId="9" hidden="1"/>
    <cellStyle name="Followed Hyperlink" xfId="2304" builtinId="9" hidden="1"/>
    <cellStyle name="Followed Hyperlink" xfId="2306" builtinId="9" hidden="1"/>
    <cellStyle name="Followed Hyperlink" xfId="2308" builtinId="9" hidden="1"/>
    <cellStyle name="Followed Hyperlink" xfId="2310" builtinId="9" hidden="1"/>
    <cellStyle name="Followed Hyperlink" xfId="2312" builtinId="9" hidden="1"/>
    <cellStyle name="Followed Hyperlink" xfId="2314" builtinId="9" hidden="1"/>
    <cellStyle name="Followed Hyperlink" xfId="2316" builtinId="9" hidden="1"/>
    <cellStyle name="Followed Hyperlink" xfId="2318" builtinId="9" hidden="1"/>
    <cellStyle name="Followed Hyperlink" xfId="2320" builtinId="9" hidden="1"/>
    <cellStyle name="Followed Hyperlink" xfId="2322" builtinId="9" hidden="1"/>
    <cellStyle name="Followed Hyperlink" xfId="2324" builtinId="9" hidden="1"/>
    <cellStyle name="Followed Hyperlink" xfId="2326" builtinId="9" hidden="1"/>
    <cellStyle name="Followed Hyperlink" xfId="2328" builtinId="9" hidden="1"/>
    <cellStyle name="Followed Hyperlink" xfId="2330" builtinId="9" hidden="1"/>
    <cellStyle name="Followed Hyperlink" xfId="2332" builtinId="9" hidden="1"/>
    <cellStyle name="Followed Hyperlink" xfId="2334" builtinId="9" hidden="1"/>
    <cellStyle name="Followed Hyperlink" xfId="2336" builtinId="9" hidden="1"/>
    <cellStyle name="Followed Hyperlink" xfId="2338" builtinId="9" hidden="1"/>
    <cellStyle name="Followed Hyperlink" xfId="2340" builtinId="9" hidden="1"/>
    <cellStyle name="Followed Hyperlink" xfId="2342" builtinId="9" hidden="1"/>
    <cellStyle name="Followed Hyperlink" xfId="2344" builtinId="9" hidden="1"/>
    <cellStyle name="Followed Hyperlink" xfId="2346" builtinId="9" hidden="1"/>
    <cellStyle name="Followed Hyperlink" xfId="2348" builtinId="9" hidden="1"/>
    <cellStyle name="Followed Hyperlink" xfId="2350" builtinId="9" hidden="1"/>
    <cellStyle name="Followed Hyperlink" xfId="2352" builtinId="9" hidden="1"/>
    <cellStyle name="Followed Hyperlink" xfId="2354" builtinId="9" hidden="1"/>
    <cellStyle name="Followed Hyperlink" xfId="2356" builtinId="9" hidden="1"/>
    <cellStyle name="Followed Hyperlink" xfId="2358" builtinId="9" hidden="1"/>
    <cellStyle name="Followed Hyperlink" xfId="2360" builtinId="9" hidden="1"/>
    <cellStyle name="Followed Hyperlink" xfId="2362" builtinId="9" hidden="1"/>
    <cellStyle name="Followed Hyperlink" xfId="2364" builtinId="9" hidden="1"/>
    <cellStyle name="Followed Hyperlink" xfId="2366" builtinId="9" hidden="1"/>
    <cellStyle name="Followed Hyperlink" xfId="2368" builtinId="9" hidden="1"/>
    <cellStyle name="Followed Hyperlink" xfId="2370" builtinId="9" hidden="1"/>
    <cellStyle name="Followed Hyperlink" xfId="2372" builtinId="9" hidden="1"/>
    <cellStyle name="Followed Hyperlink" xfId="2374" builtinId="9" hidden="1"/>
    <cellStyle name="Followed Hyperlink" xfId="2376" builtinId="9" hidden="1"/>
    <cellStyle name="Followed Hyperlink" xfId="2378" builtinId="9" hidden="1"/>
    <cellStyle name="Followed Hyperlink" xfId="2380" builtinId="9" hidden="1"/>
    <cellStyle name="Followed Hyperlink" xfId="2382" builtinId="9" hidden="1"/>
    <cellStyle name="Followed Hyperlink" xfId="2384" builtinId="9" hidden="1"/>
    <cellStyle name="Followed Hyperlink" xfId="2386" builtinId="9" hidden="1"/>
    <cellStyle name="Followed Hyperlink" xfId="2388" builtinId="9" hidden="1"/>
    <cellStyle name="Followed Hyperlink" xfId="2390" builtinId="9" hidden="1"/>
    <cellStyle name="Followed Hyperlink" xfId="2392" builtinId="9" hidden="1"/>
    <cellStyle name="Followed Hyperlink" xfId="2394" builtinId="9" hidden="1"/>
    <cellStyle name="Followed Hyperlink" xfId="2396" builtinId="9" hidden="1"/>
    <cellStyle name="Followed Hyperlink" xfId="2398" builtinId="9" hidden="1"/>
    <cellStyle name="Followed Hyperlink" xfId="2400" builtinId="9" hidden="1"/>
    <cellStyle name="Followed Hyperlink" xfId="2402" builtinId="9" hidden="1"/>
    <cellStyle name="Followed Hyperlink" xfId="2404" builtinId="9" hidden="1"/>
    <cellStyle name="Followed Hyperlink" xfId="2406" builtinId="9" hidden="1"/>
    <cellStyle name="Followed Hyperlink" xfId="2408" builtinId="9" hidden="1"/>
    <cellStyle name="Followed Hyperlink" xfId="2410" builtinId="9" hidden="1"/>
    <cellStyle name="Followed Hyperlink" xfId="2412" builtinId="9" hidden="1"/>
    <cellStyle name="Followed Hyperlink" xfId="2414" builtinId="9" hidden="1"/>
    <cellStyle name="Followed Hyperlink" xfId="2416" builtinId="9" hidden="1"/>
    <cellStyle name="Followed Hyperlink" xfId="2418" builtinId="9" hidden="1"/>
    <cellStyle name="Followed Hyperlink" xfId="2420" builtinId="9" hidden="1"/>
    <cellStyle name="Followed Hyperlink" xfId="2422" builtinId="9" hidden="1"/>
    <cellStyle name="Followed Hyperlink" xfId="2424" builtinId="9" hidden="1"/>
    <cellStyle name="Followed Hyperlink" xfId="2426" builtinId="9" hidden="1"/>
    <cellStyle name="Followed Hyperlink" xfId="2428" builtinId="9" hidden="1"/>
    <cellStyle name="Followed Hyperlink" xfId="2430" builtinId="9" hidden="1"/>
    <cellStyle name="Followed Hyperlink" xfId="2432" builtinId="9" hidden="1"/>
    <cellStyle name="Followed Hyperlink" xfId="2434" builtinId="9" hidden="1"/>
    <cellStyle name="Followed Hyperlink" xfId="2436" builtinId="9" hidden="1"/>
    <cellStyle name="Followed Hyperlink" xfId="2438" builtinId="9" hidden="1"/>
    <cellStyle name="Followed Hyperlink" xfId="2440" builtinId="9" hidden="1"/>
    <cellStyle name="Followed Hyperlink" xfId="2442" builtinId="9" hidden="1"/>
    <cellStyle name="Followed Hyperlink" xfId="2444" builtinId="9" hidden="1"/>
    <cellStyle name="Followed Hyperlink" xfId="2446" builtinId="9" hidden="1"/>
    <cellStyle name="Followed Hyperlink" xfId="2448" builtinId="9" hidden="1"/>
    <cellStyle name="Followed Hyperlink" xfId="2450" builtinId="9" hidden="1"/>
    <cellStyle name="Followed Hyperlink" xfId="2452" builtinId="9" hidden="1"/>
    <cellStyle name="Followed Hyperlink" xfId="2454" builtinId="9" hidden="1"/>
    <cellStyle name="Followed Hyperlink" xfId="2456" builtinId="9" hidden="1"/>
    <cellStyle name="Followed Hyperlink" xfId="2458" builtinId="9" hidden="1"/>
    <cellStyle name="Followed Hyperlink" xfId="2460" builtinId="9" hidden="1"/>
    <cellStyle name="Followed Hyperlink" xfId="2462" builtinId="9" hidden="1"/>
    <cellStyle name="Followed Hyperlink" xfId="2464" builtinId="9" hidden="1"/>
    <cellStyle name="Followed Hyperlink" xfId="2466" builtinId="9" hidden="1"/>
    <cellStyle name="Followed Hyperlink" xfId="2468" builtinId="9" hidden="1"/>
    <cellStyle name="Followed Hyperlink" xfId="2470" builtinId="9" hidden="1"/>
    <cellStyle name="Followed Hyperlink" xfId="2472" builtinId="9" hidden="1"/>
    <cellStyle name="Followed Hyperlink" xfId="2474" builtinId="9" hidden="1"/>
    <cellStyle name="Followed Hyperlink" xfId="2476" builtinId="9" hidden="1"/>
    <cellStyle name="Followed Hyperlink" xfId="2478" builtinId="9" hidden="1"/>
    <cellStyle name="Followed Hyperlink" xfId="2480" builtinId="9" hidden="1"/>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8"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55" builtinId="9" hidden="1"/>
    <cellStyle name="Followed Hyperlink" xfId="3056" builtinId="9" hidden="1"/>
    <cellStyle name="Followed Hyperlink" xfId="3057" builtinId="9" hidden="1"/>
    <cellStyle name="Followed Hyperlink" xfId="3058" builtinId="9" hidden="1"/>
    <cellStyle name="Followed Hyperlink" xfId="3059" builtinId="9" hidden="1"/>
    <cellStyle name="Followed Hyperlink" xfId="3060" builtinId="9" hidden="1"/>
    <cellStyle name="Followed Hyperlink" xfId="3061" builtinId="9" hidden="1"/>
    <cellStyle name="Followed Hyperlink" xfId="3062" builtinId="9" hidden="1"/>
    <cellStyle name="Followed Hyperlink" xfId="3063" builtinId="9" hidden="1"/>
    <cellStyle name="Followed Hyperlink" xfId="3064" builtinId="9" hidden="1"/>
    <cellStyle name="Followed Hyperlink" xfId="3065" builtinId="9" hidden="1"/>
    <cellStyle name="Followed Hyperlink" xfId="3066" builtinId="9" hidden="1"/>
    <cellStyle name="Followed Hyperlink" xfId="3067" builtinId="9" hidden="1"/>
    <cellStyle name="Followed Hyperlink" xfId="3068" builtinId="9" hidden="1"/>
    <cellStyle name="Followed Hyperlink" xfId="3069" builtinId="9" hidden="1"/>
    <cellStyle name="Followed Hyperlink" xfId="3070" builtinId="9" hidden="1"/>
    <cellStyle name="Followed Hyperlink" xfId="3071" builtinId="9" hidden="1"/>
    <cellStyle name="Followed Hyperlink" xfId="3072" builtinId="9" hidden="1"/>
    <cellStyle name="Followed Hyperlink" xfId="3073" builtinId="9" hidden="1"/>
    <cellStyle name="Followed Hyperlink" xfId="3074" builtinId="9" hidden="1"/>
    <cellStyle name="Followed Hyperlink" xfId="3075" builtinId="9" hidden="1"/>
    <cellStyle name="Followed Hyperlink" xfId="3076" builtinId="9" hidden="1"/>
    <cellStyle name="Followed Hyperlink" xfId="3077" builtinId="9" hidden="1"/>
    <cellStyle name="Followed Hyperlink" xfId="3078" builtinId="9" hidden="1"/>
    <cellStyle name="Followed Hyperlink" xfId="3079" builtinId="9" hidden="1"/>
    <cellStyle name="Followed Hyperlink" xfId="3080" builtinId="9" hidden="1"/>
    <cellStyle name="Followed Hyperlink" xfId="3081" builtinId="9" hidden="1"/>
    <cellStyle name="Followed Hyperlink" xfId="3082" builtinId="9" hidden="1"/>
    <cellStyle name="Followed Hyperlink" xfId="3083" builtinId="9" hidden="1"/>
    <cellStyle name="Followed Hyperlink" xfId="3084" builtinId="9" hidden="1"/>
    <cellStyle name="Followed Hyperlink" xfId="3085" builtinId="9" hidden="1"/>
    <cellStyle name="Followed Hyperlink" xfId="3086" builtinId="9" hidden="1"/>
    <cellStyle name="Followed Hyperlink" xfId="3087" builtinId="9" hidden="1"/>
    <cellStyle name="Followed Hyperlink" xfId="3088" builtinId="9" hidden="1"/>
    <cellStyle name="Followed Hyperlink" xfId="3089" builtinId="9" hidden="1"/>
    <cellStyle name="Followed Hyperlink" xfId="3090" builtinId="9" hidden="1"/>
    <cellStyle name="Followed Hyperlink" xfId="3091" builtinId="9" hidden="1"/>
    <cellStyle name="Followed Hyperlink" xfId="3092" builtinId="9" hidden="1"/>
    <cellStyle name="Followed Hyperlink" xfId="3093" builtinId="9" hidden="1"/>
    <cellStyle name="Followed Hyperlink" xfId="3094" builtinId="9" hidden="1"/>
    <cellStyle name="Followed Hyperlink" xfId="3095" builtinId="9" hidden="1"/>
    <cellStyle name="Followed Hyperlink" xfId="3096" builtinId="9" hidden="1"/>
    <cellStyle name="Followed Hyperlink" xfId="3097" builtinId="9" hidden="1"/>
    <cellStyle name="Followed Hyperlink" xfId="3098" builtinId="9" hidden="1"/>
    <cellStyle name="Followed Hyperlink" xfId="3099" builtinId="9" hidden="1"/>
    <cellStyle name="Followed Hyperlink" xfId="3100" builtinId="9" hidden="1"/>
    <cellStyle name="Followed Hyperlink" xfId="3101" builtinId="9" hidden="1"/>
    <cellStyle name="Followed Hyperlink" xfId="3102" builtinId="9" hidden="1"/>
    <cellStyle name="Followed Hyperlink" xfId="3103" builtinId="9" hidden="1"/>
    <cellStyle name="Followed Hyperlink" xfId="3104" builtinId="9" hidden="1"/>
    <cellStyle name="Followed Hyperlink" xfId="3105" builtinId="9" hidden="1"/>
    <cellStyle name="Followed Hyperlink" xfId="3106" builtinId="9" hidden="1"/>
    <cellStyle name="Followed Hyperlink" xfId="3107" builtinId="9" hidden="1"/>
    <cellStyle name="Followed Hyperlink" xfId="3108" builtinId="9" hidden="1"/>
    <cellStyle name="Followed Hyperlink" xfId="3109" builtinId="9" hidden="1"/>
    <cellStyle name="Followed Hyperlink" xfId="3110" builtinId="9" hidden="1"/>
    <cellStyle name="Followed Hyperlink" xfId="3111" builtinId="9" hidden="1"/>
    <cellStyle name="Followed Hyperlink" xfId="3112" builtinId="9" hidden="1"/>
    <cellStyle name="Followed Hyperlink" xfId="3113" builtinId="9" hidden="1"/>
    <cellStyle name="Followed Hyperlink" xfId="3114" builtinId="9" hidden="1"/>
    <cellStyle name="Followed Hyperlink" xfId="3115" builtinId="9" hidden="1"/>
    <cellStyle name="Followed Hyperlink" xfId="3116" builtinId="9" hidden="1"/>
    <cellStyle name="Followed Hyperlink" xfId="3117" builtinId="9" hidden="1"/>
    <cellStyle name="Followed Hyperlink" xfId="3118" builtinId="9" hidden="1"/>
    <cellStyle name="Followed Hyperlink" xfId="3119" builtinId="9" hidden="1"/>
    <cellStyle name="Followed Hyperlink" xfId="3120" builtinId="9" hidden="1"/>
    <cellStyle name="Followed Hyperlink" xfId="3121" builtinId="9" hidden="1"/>
    <cellStyle name="Followed Hyperlink" xfId="3122" builtinId="9" hidden="1"/>
    <cellStyle name="Followed Hyperlink" xfId="3123"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29" builtinId="9" hidden="1"/>
    <cellStyle name="Followed Hyperlink" xfId="3130" builtinId="9" hidden="1"/>
    <cellStyle name="Followed Hyperlink" xfId="3131" builtinId="9" hidden="1"/>
    <cellStyle name="Followed Hyperlink" xfId="3132" builtinId="9" hidden="1"/>
    <cellStyle name="Followed Hyperlink" xfId="3133" builtinId="9" hidden="1"/>
    <cellStyle name="Followed Hyperlink" xfId="3134" builtinId="9" hidden="1"/>
    <cellStyle name="Followed Hyperlink" xfId="3135" builtinId="9" hidden="1"/>
    <cellStyle name="Followed Hyperlink" xfId="3136" builtinId="9" hidden="1"/>
    <cellStyle name="Followed Hyperlink" xfId="3137" builtinId="9" hidden="1"/>
    <cellStyle name="Followed Hyperlink" xfId="3138" builtinId="9" hidden="1"/>
    <cellStyle name="Followed Hyperlink" xfId="3139" builtinId="9" hidden="1"/>
    <cellStyle name="Followed Hyperlink" xfId="3140" builtinId="9" hidden="1"/>
    <cellStyle name="Followed Hyperlink" xfId="3141" builtinId="9" hidden="1"/>
    <cellStyle name="Followed Hyperlink" xfId="3142" builtinId="9" hidden="1"/>
    <cellStyle name="Followed Hyperlink" xfId="3143" builtinId="9" hidden="1"/>
    <cellStyle name="Followed Hyperlink" xfId="3144" builtinId="9" hidden="1"/>
    <cellStyle name="Followed Hyperlink" xfId="3145" builtinId="9" hidden="1"/>
    <cellStyle name="Followed Hyperlink" xfId="3146" builtinId="9" hidden="1"/>
    <cellStyle name="Followed Hyperlink" xfId="3147" builtinId="9" hidden="1"/>
    <cellStyle name="Followed Hyperlink" xfId="3148" builtinId="9" hidden="1"/>
    <cellStyle name="Followed Hyperlink" xfId="3149" builtinId="9" hidden="1"/>
    <cellStyle name="Followed Hyperlink" xfId="3150" builtinId="9" hidden="1"/>
    <cellStyle name="Followed Hyperlink" xfId="3151" builtinId="9" hidden="1"/>
    <cellStyle name="Followed Hyperlink" xfId="3152" builtinId="9" hidden="1"/>
    <cellStyle name="Followed Hyperlink" xfId="3153" builtinId="9" hidden="1"/>
    <cellStyle name="Followed Hyperlink" xfId="3154" builtinId="9" hidden="1"/>
    <cellStyle name="Followed Hyperlink" xfId="3155" builtinId="9" hidden="1"/>
    <cellStyle name="Followed Hyperlink" xfId="3156" builtinId="9" hidden="1"/>
    <cellStyle name="Followed Hyperlink" xfId="3157" builtinId="9" hidden="1"/>
    <cellStyle name="Followed Hyperlink" xfId="3158" builtinId="9" hidden="1"/>
    <cellStyle name="Followed Hyperlink" xfId="3159"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5" builtinId="9" hidden="1"/>
    <cellStyle name="Followed Hyperlink" xfId="3166" builtinId="9" hidden="1"/>
    <cellStyle name="Followed Hyperlink" xfId="3167" builtinId="9" hidden="1"/>
    <cellStyle name="Followed Hyperlink" xfId="3168" builtinId="9" hidden="1"/>
    <cellStyle name="Followed Hyperlink" xfId="3169" builtinId="9" hidden="1"/>
    <cellStyle name="Followed Hyperlink" xfId="3170" builtinId="9" hidden="1"/>
    <cellStyle name="Followed Hyperlink" xfId="3171" builtinId="9" hidden="1"/>
    <cellStyle name="Followed Hyperlink" xfId="3172" builtinId="9" hidden="1"/>
    <cellStyle name="Followed Hyperlink" xfId="3173" builtinId="9" hidden="1"/>
    <cellStyle name="Followed Hyperlink" xfId="3174" builtinId="9" hidden="1"/>
    <cellStyle name="Followed Hyperlink" xfId="3175" builtinId="9" hidden="1"/>
    <cellStyle name="Followed Hyperlink" xfId="3176" builtinId="9" hidden="1"/>
    <cellStyle name="Followed Hyperlink" xfId="3177" builtinId="9" hidden="1"/>
    <cellStyle name="Followed Hyperlink" xfId="3178" builtinId="9" hidden="1"/>
    <cellStyle name="Followed Hyperlink" xfId="3179" builtinId="9" hidden="1"/>
    <cellStyle name="Followed Hyperlink" xfId="3180" builtinId="9" hidden="1"/>
    <cellStyle name="Followed Hyperlink" xfId="3181" builtinId="9" hidden="1"/>
    <cellStyle name="Followed Hyperlink" xfId="3182" builtinId="9" hidden="1"/>
    <cellStyle name="Followed Hyperlink" xfId="3183" builtinId="9" hidden="1"/>
    <cellStyle name="Followed Hyperlink" xfId="3184" builtinId="9" hidden="1"/>
    <cellStyle name="Followed Hyperlink" xfId="3185" builtinId="9" hidden="1"/>
    <cellStyle name="Followed Hyperlink" xfId="3186" builtinId="9" hidden="1"/>
    <cellStyle name="Followed Hyperlink" xfId="3187" builtinId="9" hidden="1"/>
    <cellStyle name="Followed Hyperlink" xfId="3188" builtinId="9" hidden="1"/>
    <cellStyle name="Followed Hyperlink" xfId="3189" builtinId="9" hidden="1"/>
    <cellStyle name="Followed Hyperlink" xfId="3190" builtinId="9" hidden="1"/>
    <cellStyle name="Followed Hyperlink" xfId="3191" builtinId="9" hidden="1"/>
    <cellStyle name="Followed Hyperlink" xfId="3192" builtinId="9" hidden="1"/>
    <cellStyle name="Followed Hyperlink" xfId="3193"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199" builtinId="9" hidden="1"/>
    <cellStyle name="Followed Hyperlink" xfId="3200" builtinId="9" hidden="1"/>
    <cellStyle name="Followed Hyperlink" xfId="3201" builtinId="9" hidden="1"/>
    <cellStyle name="Followed Hyperlink" xfId="3202" builtinId="9" hidden="1"/>
    <cellStyle name="Followed Hyperlink" xfId="3203" builtinId="9" hidden="1"/>
    <cellStyle name="Followed Hyperlink" xfId="3204" builtinId="9" hidden="1"/>
    <cellStyle name="Followed Hyperlink" xfId="3205" builtinId="9" hidden="1"/>
    <cellStyle name="Followed Hyperlink" xfId="3206" builtinId="9" hidden="1"/>
    <cellStyle name="Followed Hyperlink" xfId="3207" builtinId="9" hidden="1"/>
    <cellStyle name="Followed Hyperlink" xfId="3208" builtinId="9" hidden="1"/>
    <cellStyle name="Followed Hyperlink" xfId="3209" builtinId="9" hidden="1"/>
    <cellStyle name="Followed Hyperlink" xfId="3210" builtinId="9" hidden="1"/>
    <cellStyle name="Followed Hyperlink" xfId="3211" builtinId="9" hidden="1"/>
    <cellStyle name="Followed Hyperlink" xfId="3212" builtinId="9" hidden="1"/>
    <cellStyle name="Followed Hyperlink" xfId="3213" builtinId="9" hidden="1"/>
    <cellStyle name="Followed Hyperlink" xfId="3214" builtinId="9" hidden="1"/>
    <cellStyle name="Followed Hyperlink" xfId="3215" builtinId="9" hidden="1"/>
    <cellStyle name="Followed Hyperlink" xfId="3216" builtinId="9" hidden="1"/>
    <cellStyle name="Followed Hyperlink" xfId="3217" builtinId="9" hidden="1"/>
    <cellStyle name="Followed Hyperlink" xfId="3218" builtinId="9" hidden="1"/>
    <cellStyle name="Followed Hyperlink" xfId="3219" builtinId="9" hidden="1"/>
    <cellStyle name="Followed Hyperlink" xfId="3220" builtinId="9" hidden="1"/>
    <cellStyle name="Followed Hyperlink" xfId="3221" builtinId="9" hidden="1"/>
    <cellStyle name="Followed Hyperlink" xfId="3222" builtinId="9" hidden="1"/>
    <cellStyle name="Followed Hyperlink" xfId="3223" builtinId="9" hidden="1"/>
    <cellStyle name="Followed Hyperlink" xfId="3224" builtinId="9" hidden="1"/>
    <cellStyle name="Followed Hyperlink" xfId="3225" builtinId="9" hidden="1"/>
    <cellStyle name="Followed Hyperlink" xfId="3226" builtinId="9" hidden="1"/>
    <cellStyle name="Followed Hyperlink" xfId="3227" builtinId="9" hidden="1"/>
    <cellStyle name="Followed Hyperlink" xfId="3228" builtinId="9" hidden="1"/>
    <cellStyle name="Followed Hyperlink" xfId="3229" builtinId="9" hidden="1"/>
    <cellStyle name="Followed Hyperlink" xfId="3230" builtinId="9" hidden="1"/>
    <cellStyle name="Followed Hyperlink" xfId="3231" builtinId="9" hidden="1"/>
    <cellStyle name="Followed Hyperlink" xfId="3232" builtinId="9" hidden="1"/>
    <cellStyle name="Followed Hyperlink" xfId="3233" builtinId="9" hidden="1"/>
    <cellStyle name="Followed Hyperlink" xfId="3234" builtinId="9" hidden="1"/>
    <cellStyle name="Followed Hyperlink" xfId="3235" builtinId="9" hidden="1"/>
    <cellStyle name="Followed Hyperlink" xfId="3236" builtinId="9" hidden="1"/>
    <cellStyle name="Followed Hyperlink" xfId="3237" builtinId="9" hidden="1"/>
    <cellStyle name="Followed Hyperlink" xfId="3238" builtinId="9" hidden="1"/>
    <cellStyle name="Followed Hyperlink" xfId="3239" builtinId="9" hidden="1"/>
    <cellStyle name="Followed Hyperlink" xfId="3240" builtinId="9" hidden="1"/>
    <cellStyle name="Followed Hyperlink" xfId="3241" builtinId="9" hidden="1"/>
    <cellStyle name="Followed Hyperlink" xfId="3242" builtinId="9" hidden="1"/>
    <cellStyle name="Followed Hyperlink" xfId="3243" builtinId="9" hidden="1"/>
    <cellStyle name="Followed Hyperlink" xfId="3244" builtinId="9" hidden="1"/>
    <cellStyle name="Followed Hyperlink" xfId="3245" builtinId="9" hidden="1"/>
    <cellStyle name="Followed Hyperlink" xfId="3246" builtinId="9" hidden="1"/>
    <cellStyle name="Followed Hyperlink" xfId="3247" builtinId="9" hidden="1"/>
    <cellStyle name="Followed Hyperlink" xfId="3248" builtinId="9" hidden="1"/>
    <cellStyle name="Followed Hyperlink" xfId="3249" builtinId="9" hidden="1"/>
    <cellStyle name="Followed Hyperlink" xfId="3250" builtinId="9" hidden="1"/>
    <cellStyle name="Followed Hyperlink" xfId="3251" builtinId="9" hidden="1"/>
    <cellStyle name="Followed Hyperlink" xfId="3252" builtinId="9" hidden="1"/>
    <cellStyle name="Followed Hyperlink" xfId="3253" builtinId="9" hidden="1"/>
    <cellStyle name="Followed Hyperlink" xfId="3254" builtinId="9" hidden="1"/>
    <cellStyle name="Followed Hyperlink" xfId="3255" builtinId="9" hidden="1"/>
    <cellStyle name="Followed Hyperlink" xfId="3256" builtinId="9" hidden="1"/>
    <cellStyle name="Followed Hyperlink" xfId="3257" builtinId="9" hidden="1"/>
    <cellStyle name="Followed Hyperlink" xfId="3258" builtinId="9" hidden="1"/>
    <cellStyle name="Followed Hyperlink" xfId="3259" builtinId="9" hidden="1"/>
    <cellStyle name="Followed Hyperlink" xfId="3260" builtinId="9" hidden="1"/>
    <cellStyle name="Followed Hyperlink" xfId="3261" builtinId="9" hidden="1"/>
    <cellStyle name="Followed Hyperlink" xfId="3262" builtinId="9" hidden="1"/>
    <cellStyle name="Followed Hyperlink" xfId="3263" builtinId="9" hidden="1"/>
    <cellStyle name="Followed Hyperlink" xfId="3264" builtinId="9" hidden="1"/>
    <cellStyle name="Followed Hyperlink" xfId="3265" builtinId="9" hidden="1"/>
    <cellStyle name="Followed Hyperlink" xfId="3266" builtinId="9" hidden="1"/>
    <cellStyle name="Followed Hyperlink" xfId="3267"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3" builtinId="9" hidden="1"/>
    <cellStyle name="Followed Hyperlink" xfId="3274" builtinId="9" hidden="1"/>
    <cellStyle name="Followed Hyperlink" xfId="3275" builtinId="9" hidden="1"/>
    <cellStyle name="Followed Hyperlink" xfId="3276" builtinId="9" hidden="1"/>
    <cellStyle name="Followed Hyperlink" xfId="3277" builtinId="9" hidden="1"/>
    <cellStyle name="Followed Hyperlink" xfId="3278" builtinId="9" hidden="1"/>
    <cellStyle name="Followed Hyperlink" xfId="3279" builtinId="9" hidden="1"/>
    <cellStyle name="Followed Hyperlink" xfId="3280" builtinId="9" hidden="1"/>
    <cellStyle name="Followed Hyperlink" xfId="3281" builtinId="9" hidden="1"/>
    <cellStyle name="Followed Hyperlink" xfId="3282" builtinId="9" hidden="1"/>
    <cellStyle name="Followed Hyperlink" xfId="3283" builtinId="9" hidden="1"/>
    <cellStyle name="Followed Hyperlink" xfId="3284" builtinId="9" hidden="1"/>
    <cellStyle name="Followed Hyperlink" xfId="3285" builtinId="9" hidden="1"/>
    <cellStyle name="Followed Hyperlink" xfId="3286" builtinId="9" hidden="1"/>
    <cellStyle name="Followed Hyperlink" xfId="3287" builtinId="9" hidden="1"/>
    <cellStyle name="Followed Hyperlink" xfId="3288" builtinId="9" hidden="1"/>
    <cellStyle name="Followed Hyperlink" xfId="3289" builtinId="9" hidden="1"/>
    <cellStyle name="Followed Hyperlink" xfId="3290" builtinId="9" hidden="1"/>
    <cellStyle name="Followed Hyperlink" xfId="3291" builtinId="9" hidden="1"/>
    <cellStyle name="Followed Hyperlink" xfId="3292" builtinId="9" hidden="1"/>
    <cellStyle name="Followed Hyperlink" xfId="3293" builtinId="9" hidden="1"/>
    <cellStyle name="Followed Hyperlink" xfId="3294" builtinId="9" hidden="1"/>
    <cellStyle name="Followed Hyperlink" xfId="3295" builtinId="9" hidden="1"/>
    <cellStyle name="Followed Hyperlink" xfId="3296" builtinId="9" hidden="1"/>
    <cellStyle name="Followed Hyperlink" xfId="3297" builtinId="9" hidden="1"/>
    <cellStyle name="Followed Hyperlink" xfId="3298" builtinId="9" hidden="1"/>
    <cellStyle name="Followed Hyperlink" xfId="3299" builtinId="9" hidden="1"/>
    <cellStyle name="Followed Hyperlink" xfId="3300" builtinId="9" hidden="1"/>
    <cellStyle name="Followed Hyperlink" xfId="3301" builtinId="9" hidden="1"/>
    <cellStyle name="Followed Hyperlink" xfId="3302" builtinId="9" hidden="1"/>
    <cellStyle name="Followed Hyperlink" xfId="3303"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308" builtinId="9" hidden="1"/>
    <cellStyle name="Followed Hyperlink" xfId="3309" builtinId="9" hidden="1"/>
    <cellStyle name="Followed Hyperlink" xfId="3310" builtinId="9" hidden="1"/>
    <cellStyle name="Followed Hyperlink" xfId="3311" builtinId="9" hidden="1"/>
    <cellStyle name="Followed Hyperlink" xfId="3312" builtinId="9" hidden="1"/>
    <cellStyle name="Followed Hyperlink" xfId="3313" builtinId="9" hidden="1"/>
    <cellStyle name="Followed Hyperlink" xfId="3314" builtinId="9" hidden="1"/>
    <cellStyle name="Followed Hyperlink" xfId="3315" builtinId="9" hidden="1"/>
    <cellStyle name="Followed Hyperlink" xfId="3316" builtinId="9" hidden="1"/>
    <cellStyle name="Followed Hyperlink" xfId="3317" builtinId="9" hidden="1"/>
    <cellStyle name="Followed Hyperlink" xfId="3318" builtinId="9" hidden="1"/>
    <cellStyle name="Followed Hyperlink" xfId="3319" builtinId="9" hidden="1"/>
    <cellStyle name="Followed Hyperlink" xfId="3320" builtinId="9" hidden="1"/>
    <cellStyle name="Followed Hyperlink" xfId="3321" builtinId="9" hidden="1"/>
    <cellStyle name="Followed Hyperlink" xfId="3322" builtinId="9" hidden="1"/>
    <cellStyle name="Followed Hyperlink" xfId="3323" builtinId="9" hidden="1"/>
    <cellStyle name="Followed Hyperlink" xfId="3324" builtinId="9" hidden="1"/>
    <cellStyle name="Followed Hyperlink" xfId="3325" builtinId="9" hidden="1"/>
    <cellStyle name="Followed Hyperlink" xfId="3326" builtinId="9" hidden="1"/>
    <cellStyle name="Followed Hyperlink" xfId="3327" builtinId="9" hidden="1"/>
    <cellStyle name="Followed Hyperlink" xfId="3328" builtinId="9" hidden="1"/>
    <cellStyle name="Followed Hyperlink" xfId="3329" builtinId="9" hidden="1"/>
    <cellStyle name="Followed Hyperlink" xfId="3330" builtinId="9" hidden="1"/>
    <cellStyle name="Followed Hyperlink" xfId="3331" builtinId="9" hidden="1"/>
    <cellStyle name="Followed Hyperlink" xfId="3332" builtinId="9" hidden="1"/>
    <cellStyle name="Followed Hyperlink" xfId="3333" builtinId="9" hidden="1"/>
    <cellStyle name="Followed Hyperlink" xfId="3334" builtinId="9" hidden="1"/>
    <cellStyle name="Followed Hyperlink" xfId="3335" builtinId="9" hidden="1"/>
    <cellStyle name="Followed Hyperlink" xfId="3336" builtinId="9" hidden="1"/>
    <cellStyle name="Followed Hyperlink" xfId="3337"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43" builtinId="9" hidden="1"/>
    <cellStyle name="Followed Hyperlink" xfId="3344" builtinId="9" hidden="1"/>
    <cellStyle name="Followed Hyperlink" xfId="3345" builtinId="9" hidden="1"/>
    <cellStyle name="Followed Hyperlink" xfId="3346" builtinId="9" hidden="1"/>
    <cellStyle name="Followed Hyperlink" xfId="3347" builtinId="9" hidden="1"/>
    <cellStyle name="Followed Hyperlink" xfId="3348" builtinId="9" hidden="1"/>
    <cellStyle name="Followed Hyperlink" xfId="3349" builtinId="9" hidden="1"/>
    <cellStyle name="Followed Hyperlink" xfId="3350" builtinId="9" hidden="1"/>
    <cellStyle name="Followed Hyperlink" xfId="3351" builtinId="9" hidden="1"/>
    <cellStyle name="Followed Hyperlink" xfId="3352" builtinId="9" hidden="1"/>
    <cellStyle name="Followed Hyperlink" xfId="3353" builtinId="9" hidden="1"/>
    <cellStyle name="Followed Hyperlink" xfId="3354" builtinId="9" hidden="1"/>
    <cellStyle name="Followed Hyperlink" xfId="3355" builtinId="9" hidden="1"/>
    <cellStyle name="Followed Hyperlink" xfId="3356" builtinId="9" hidden="1"/>
    <cellStyle name="Followed Hyperlink" xfId="3357" builtinId="9" hidden="1"/>
    <cellStyle name="Followed Hyperlink" xfId="3358" builtinId="9" hidden="1"/>
    <cellStyle name="Followed Hyperlink" xfId="3359" builtinId="9" hidden="1"/>
    <cellStyle name="Followed Hyperlink" xfId="3360" builtinId="9" hidden="1"/>
    <cellStyle name="Followed Hyperlink" xfId="3361" builtinId="9" hidden="1"/>
    <cellStyle name="Followed Hyperlink" xfId="3362" builtinId="9" hidden="1"/>
    <cellStyle name="Followed Hyperlink" xfId="3363" builtinId="9" hidden="1"/>
    <cellStyle name="Followed Hyperlink" xfId="3364" builtinId="9" hidden="1"/>
    <cellStyle name="Followed Hyperlink" xfId="3365" builtinId="9" hidden="1"/>
    <cellStyle name="Followed Hyperlink" xfId="3366" builtinId="9" hidden="1"/>
    <cellStyle name="Followed Hyperlink" xfId="3367" builtinId="9" hidden="1"/>
    <cellStyle name="Followed Hyperlink" xfId="3368" builtinId="9" hidden="1"/>
    <cellStyle name="Followed Hyperlink" xfId="3369" builtinId="9" hidden="1"/>
    <cellStyle name="Followed Hyperlink" xfId="3370" builtinId="9" hidden="1"/>
    <cellStyle name="Followed Hyperlink" xfId="3371" builtinId="9" hidden="1"/>
    <cellStyle name="Followed Hyperlink" xfId="3372" builtinId="9" hidden="1"/>
    <cellStyle name="Followed Hyperlink" xfId="3373" builtinId="9" hidden="1"/>
    <cellStyle name="Followed Hyperlink" xfId="3374" builtinId="9" hidden="1"/>
    <cellStyle name="Followed Hyperlink" xfId="3375" builtinId="9" hidden="1"/>
    <cellStyle name="Followed Hyperlink" xfId="3376" builtinId="9" hidden="1"/>
    <cellStyle name="Followed Hyperlink" xfId="3377" builtinId="9" hidden="1"/>
    <cellStyle name="Followed Hyperlink" xfId="3378" builtinId="9" hidden="1"/>
    <cellStyle name="Followed Hyperlink" xfId="3379" builtinId="9" hidden="1"/>
    <cellStyle name="Followed Hyperlink" xfId="3380" builtinId="9" hidden="1"/>
    <cellStyle name="Followed Hyperlink" xfId="3381" builtinId="9" hidden="1"/>
    <cellStyle name="Followed Hyperlink" xfId="3382" builtinId="9" hidden="1"/>
    <cellStyle name="Followed Hyperlink" xfId="3383" builtinId="9" hidden="1"/>
    <cellStyle name="Followed Hyperlink" xfId="3384" builtinId="9" hidden="1"/>
    <cellStyle name="Followed Hyperlink" xfId="3385" builtinId="9" hidden="1"/>
    <cellStyle name="Followed Hyperlink" xfId="3386" builtinId="9" hidden="1"/>
    <cellStyle name="Followed Hyperlink" xfId="3387" builtinId="9" hidden="1"/>
    <cellStyle name="Followed Hyperlink" xfId="3388" builtinId="9" hidden="1"/>
    <cellStyle name="Followed Hyperlink" xfId="3389" builtinId="9" hidden="1"/>
    <cellStyle name="Followed Hyperlink" xfId="3390" builtinId="9" hidden="1"/>
    <cellStyle name="Followed Hyperlink" xfId="3391" builtinId="9" hidden="1"/>
    <cellStyle name="Followed Hyperlink" xfId="3392" builtinId="9" hidden="1"/>
    <cellStyle name="Followed Hyperlink" xfId="3393" builtinId="9" hidden="1"/>
    <cellStyle name="Followed Hyperlink" xfId="3394" builtinId="9" hidden="1"/>
    <cellStyle name="Followed Hyperlink" xfId="3395" builtinId="9" hidden="1"/>
    <cellStyle name="Followed Hyperlink" xfId="3396" builtinId="9" hidden="1"/>
    <cellStyle name="Followed Hyperlink" xfId="3397" builtinId="9" hidden="1"/>
    <cellStyle name="Followed Hyperlink" xfId="3398" builtinId="9" hidden="1"/>
    <cellStyle name="Followed Hyperlink" xfId="3399" builtinId="9" hidden="1"/>
    <cellStyle name="Followed Hyperlink" xfId="3400" builtinId="9" hidden="1"/>
    <cellStyle name="Followed Hyperlink" xfId="3401" builtinId="9" hidden="1"/>
    <cellStyle name="Followed Hyperlink" xfId="3402" builtinId="9" hidden="1"/>
    <cellStyle name="Followed Hyperlink" xfId="3403" builtinId="9" hidden="1"/>
    <cellStyle name="Followed Hyperlink" xfId="3404" builtinId="9" hidden="1"/>
    <cellStyle name="Followed Hyperlink" xfId="3405" builtinId="9" hidden="1"/>
    <cellStyle name="Followed Hyperlink" xfId="3406" builtinId="9" hidden="1"/>
    <cellStyle name="Followed Hyperlink" xfId="3407" builtinId="9" hidden="1"/>
    <cellStyle name="Followed Hyperlink" xfId="3408"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4" builtinId="9" hidden="1"/>
    <cellStyle name="Followed Hyperlink" xfId="3415" builtinId="9" hidden="1"/>
    <cellStyle name="Followed Hyperlink" xfId="3416" builtinId="9" hidden="1"/>
    <cellStyle name="Followed Hyperlink" xfId="3417" builtinId="9" hidden="1"/>
    <cellStyle name="Followed Hyperlink" xfId="3418" builtinId="9" hidden="1"/>
    <cellStyle name="Followed Hyperlink" xfId="3419" builtinId="9" hidden="1"/>
    <cellStyle name="Followed Hyperlink" xfId="3420" builtinId="9" hidden="1"/>
    <cellStyle name="Followed Hyperlink" xfId="3421" builtinId="9" hidden="1"/>
    <cellStyle name="Followed Hyperlink" xfId="3422" builtinId="9" hidden="1"/>
    <cellStyle name="Followed Hyperlink" xfId="3423" builtinId="9" hidden="1"/>
    <cellStyle name="Followed Hyperlink" xfId="3424" builtinId="9" hidden="1"/>
    <cellStyle name="Followed Hyperlink" xfId="3425" builtinId="9" hidden="1"/>
    <cellStyle name="Followed Hyperlink" xfId="3426" builtinId="9" hidden="1"/>
    <cellStyle name="Followed Hyperlink" xfId="3427" builtinId="9" hidden="1"/>
    <cellStyle name="Followed Hyperlink" xfId="3428" builtinId="9" hidden="1"/>
    <cellStyle name="Followed Hyperlink" xfId="3429" builtinId="9" hidden="1"/>
    <cellStyle name="Followed Hyperlink" xfId="3430" builtinId="9" hidden="1"/>
    <cellStyle name="Followed Hyperlink" xfId="3431" builtinId="9" hidden="1"/>
    <cellStyle name="Followed Hyperlink" xfId="3432" builtinId="9" hidden="1"/>
    <cellStyle name="Followed Hyperlink" xfId="3433" builtinId="9" hidden="1"/>
    <cellStyle name="Followed Hyperlink" xfId="3434" builtinId="9" hidden="1"/>
    <cellStyle name="Followed Hyperlink" xfId="3435" builtinId="9" hidden="1"/>
    <cellStyle name="Followed Hyperlink" xfId="3436" builtinId="9" hidden="1"/>
    <cellStyle name="Followed Hyperlink" xfId="3437" builtinId="9" hidden="1"/>
    <cellStyle name="Followed Hyperlink" xfId="3438" builtinId="9" hidden="1"/>
    <cellStyle name="Followed Hyperlink" xfId="3439" builtinId="9" hidden="1"/>
    <cellStyle name="Followed Hyperlink" xfId="3440" builtinId="9" hidden="1"/>
    <cellStyle name="Followed Hyperlink" xfId="3441" builtinId="9" hidden="1"/>
    <cellStyle name="Followed Hyperlink" xfId="3442"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450" builtinId="9" hidden="1"/>
    <cellStyle name="Followed Hyperlink" xfId="3451" builtinId="9" hidden="1"/>
    <cellStyle name="Followed Hyperlink" xfId="3452" builtinId="9" hidden="1"/>
    <cellStyle name="Followed Hyperlink" xfId="3453" builtinId="9" hidden="1"/>
    <cellStyle name="Followed Hyperlink" xfId="3454" builtinId="9" hidden="1"/>
    <cellStyle name="Followed Hyperlink" xfId="3455" builtinId="9" hidden="1"/>
    <cellStyle name="Followed Hyperlink" xfId="3456" builtinId="9" hidden="1"/>
    <cellStyle name="Followed Hyperlink" xfId="3457"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3" builtinId="9" hidden="1"/>
    <cellStyle name="Followed Hyperlink" xfId="3464" builtinId="9" hidden="1"/>
    <cellStyle name="Followed Hyperlink" xfId="3465" builtinId="9" hidden="1"/>
    <cellStyle name="Followed Hyperlink" xfId="3466" builtinId="9" hidden="1"/>
    <cellStyle name="Followed Hyperlink" xfId="3467" builtinId="9" hidden="1"/>
    <cellStyle name="Followed Hyperlink" xfId="3468" builtinId="9" hidden="1"/>
    <cellStyle name="Followed Hyperlink" xfId="3469"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476" builtinId="9" hidden="1"/>
    <cellStyle name="Followed Hyperlink" xfId="3477" builtinId="9" hidden="1"/>
    <cellStyle name="Followed Hyperlink" xfId="3478" builtinId="9" hidden="1"/>
    <cellStyle name="Followed Hyperlink" xfId="3479" builtinId="9" hidden="1"/>
    <cellStyle name="Followed Hyperlink" xfId="3480" builtinId="9" hidden="1"/>
    <cellStyle name="Followed Hyperlink" xfId="3481" builtinId="9" hidden="1"/>
    <cellStyle name="Followed Hyperlink" xfId="3482" builtinId="9" hidden="1"/>
    <cellStyle name="Followed Hyperlink" xfId="3483" builtinId="9" hidden="1"/>
    <cellStyle name="Followed Hyperlink" xfId="3484" builtinId="9" hidden="1"/>
    <cellStyle name="Followed Hyperlink" xfId="3485" builtinId="9" hidden="1"/>
    <cellStyle name="Followed Hyperlink" xfId="3486" builtinId="9" hidden="1"/>
    <cellStyle name="Followed Hyperlink" xfId="3487" builtinId="9" hidden="1"/>
    <cellStyle name="Followed Hyperlink" xfId="3488" builtinId="9" hidden="1"/>
    <cellStyle name="Followed Hyperlink" xfId="3489" builtinId="9" hidden="1"/>
    <cellStyle name="Followed Hyperlink" xfId="3490" builtinId="9" hidden="1"/>
    <cellStyle name="Followed Hyperlink" xfId="3491" builtinId="9" hidden="1"/>
    <cellStyle name="Followed Hyperlink" xfId="3492" builtinId="9" hidden="1"/>
    <cellStyle name="Followed Hyperlink" xfId="3493" builtinId="9" hidden="1"/>
    <cellStyle name="Followed Hyperlink" xfId="3494" builtinId="9" hidden="1"/>
    <cellStyle name="Followed Hyperlink" xfId="3495" builtinId="9" hidden="1"/>
    <cellStyle name="Followed Hyperlink" xfId="3496" builtinId="9" hidden="1"/>
    <cellStyle name="Followed Hyperlink" xfId="3497" builtinId="9" hidden="1"/>
    <cellStyle name="Followed Hyperlink" xfId="3498" builtinId="9" hidden="1"/>
    <cellStyle name="Followed Hyperlink" xfId="3499" builtinId="9" hidden="1"/>
    <cellStyle name="Followed Hyperlink" xfId="3500" builtinId="9" hidden="1"/>
    <cellStyle name="Followed Hyperlink" xfId="3501" builtinId="9" hidden="1"/>
    <cellStyle name="Followed Hyperlink" xfId="3502" builtinId="9" hidden="1"/>
    <cellStyle name="Followed Hyperlink" xfId="3503" builtinId="9" hidden="1"/>
    <cellStyle name="Followed Hyperlink" xfId="3504" builtinId="9" hidden="1"/>
    <cellStyle name="Followed Hyperlink" xfId="3505" builtinId="9" hidden="1"/>
    <cellStyle name="Followed Hyperlink" xfId="3506" builtinId="9" hidden="1"/>
    <cellStyle name="Followed Hyperlink" xfId="3507" builtinId="9" hidden="1"/>
    <cellStyle name="Followed Hyperlink" xfId="3508" builtinId="9" hidden="1"/>
    <cellStyle name="Followed Hyperlink" xfId="3509" builtinId="9" hidden="1"/>
    <cellStyle name="Followed Hyperlink" xfId="3510" builtinId="9" hidden="1"/>
    <cellStyle name="Followed Hyperlink" xfId="3511" builtinId="9" hidden="1"/>
    <cellStyle name="Followed Hyperlink" xfId="3512" builtinId="9" hidden="1"/>
    <cellStyle name="Followed Hyperlink" xfId="3513"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8" builtinId="9" hidden="1"/>
    <cellStyle name="Followed Hyperlink" xfId="3519" builtinId="9" hidden="1"/>
    <cellStyle name="Followed Hyperlink" xfId="3520" builtinId="9" hidden="1"/>
    <cellStyle name="Followed Hyperlink" xfId="3521" builtinId="9" hidden="1"/>
    <cellStyle name="Followed Hyperlink" xfId="3522" builtinId="9" hidden="1"/>
    <cellStyle name="Followed Hyperlink" xfId="3523" builtinId="9" hidden="1"/>
    <cellStyle name="Followed Hyperlink" xfId="3524" builtinId="9" hidden="1"/>
    <cellStyle name="Followed Hyperlink" xfId="3525" builtinId="9" hidden="1"/>
    <cellStyle name="Followed Hyperlink" xfId="3526" builtinId="9" hidden="1"/>
    <cellStyle name="Followed Hyperlink" xfId="3527" builtinId="9" hidden="1"/>
    <cellStyle name="Followed Hyperlink" xfId="3528" builtinId="9" hidden="1"/>
    <cellStyle name="Followed Hyperlink" xfId="3529" builtinId="9" hidden="1"/>
    <cellStyle name="Followed Hyperlink" xfId="3530" builtinId="9" hidden="1"/>
    <cellStyle name="Followed Hyperlink" xfId="3531" builtinId="9" hidden="1"/>
    <cellStyle name="Followed Hyperlink" xfId="3532" builtinId="9" hidden="1"/>
    <cellStyle name="Followed Hyperlink" xfId="3533" builtinId="9" hidden="1"/>
    <cellStyle name="Followed Hyperlink" xfId="3534" builtinId="9" hidden="1"/>
    <cellStyle name="Followed Hyperlink" xfId="3535" builtinId="9" hidden="1"/>
    <cellStyle name="Followed Hyperlink" xfId="3536" builtinId="9" hidden="1"/>
    <cellStyle name="Followed Hyperlink" xfId="3537" builtinId="9" hidden="1"/>
    <cellStyle name="Followed Hyperlink" xfId="3538" builtinId="9" hidden="1"/>
    <cellStyle name="Followed Hyperlink" xfId="3539" builtinId="9" hidden="1"/>
    <cellStyle name="Followed Hyperlink" xfId="3540" builtinId="9" hidden="1"/>
    <cellStyle name="Followed Hyperlink" xfId="3541" builtinId="9" hidden="1"/>
    <cellStyle name="Followed Hyperlink" xfId="3542" builtinId="9" hidden="1"/>
    <cellStyle name="Followed Hyperlink" xfId="3543" builtinId="9" hidden="1"/>
    <cellStyle name="Followed Hyperlink" xfId="3544" builtinId="9" hidden="1"/>
    <cellStyle name="Followed Hyperlink" xfId="3545" builtinId="9" hidden="1"/>
    <cellStyle name="Followed Hyperlink" xfId="3546" builtinId="9" hidden="1"/>
    <cellStyle name="Followed Hyperlink" xfId="3547" builtinId="9" hidden="1"/>
    <cellStyle name="Followed Hyperlink" xfId="3548"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4" builtinId="9" hidden="1"/>
    <cellStyle name="Followed Hyperlink" xfId="3555" builtinId="9" hidden="1"/>
    <cellStyle name="Followed Hyperlink" xfId="3556" builtinId="9" hidden="1"/>
    <cellStyle name="Followed Hyperlink" xfId="3557" builtinId="9" hidden="1"/>
    <cellStyle name="Followed Hyperlink" xfId="3558" builtinId="9" hidden="1"/>
    <cellStyle name="Followed Hyperlink" xfId="3559" builtinId="9" hidden="1"/>
    <cellStyle name="Followed Hyperlink" xfId="3560" builtinId="9" hidden="1"/>
    <cellStyle name="Followed Hyperlink" xfId="3561" builtinId="9" hidden="1"/>
    <cellStyle name="Followed Hyperlink" xfId="3562" builtinId="9" hidden="1"/>
    <cellStyle name="Followed Hyperlink" xfId="3563" builtinId="9" hidden="1"/>
    <cellStyle name="Followed Hyperlink" xfId="3564" builtinId="9" hidden="1"/>
    <cellStyle name="Followed Hyperlink" xfId="3565" builtinId="9" hidden="1"/>
    <cellStyle name="Followed Hyperlink" xfId="3566" builtinId="9" hidden="1"/>
    <cellStyle name="Followed Hyperlink" xfId="3567" builtinId="9" hidden="1"/>
    <cellStyle name="Followed Hyperlink" xfId="3568" builtinId="9" hidden="1"/>
    <cellStyle name="Followed Hyperlink" xfId="3569" builtinId="9" hidden="1"/>
    <cellStyle name="Followed Hyperlink" xfId="3570" builtinId="9" hidden="1"/>
    <cellStyle name="Followed Hyperlink" xfId="3571" builtinId="9" hidden="1"/>
    <cellStyle name="Followed Hyperlink" xfId="3572" builtinId="9" hidden="1"/>
    <cellStyle name="Followed Hyperlink" xfId="3573" builtinId="9" hidden="1"/>
    <cellStyle name="Followed Hyperlink" xfId="3574" builtinId="9" hidden="1"/>
    <cellStyle name="Followed Hyperlink" xfId="3575" builtinId="9" hidden="1"/>
    <cellStyle name="Followed Hyperlink" xfId="3576" builtinId="9" hidden="1"/>
    <cellStyle name="Followed Hyperlink" xfId="3577" builtinId="9" hidden="1"/>
    <cellStyle name="Followed Hyperlink" xfId="3578" builtinId="9" hidden="1"/>
    <cellStyle name="Followed Hyperlink" xfId="3579" builtinId="9" hidden="1"/>
    <cellStyle name="Followed Hyperlink" xfId="3580" builtinId="9" hidden="1"/>
    <cellStyle name="Followed Hyperlink" xfId="3581" builtinId="9" hidden="1"/>
    <cellStyle name="Followed Hyperlink" xfId="3582" builtinId="9" hidden="1"/>
    <cellStyle name="Followed Hyperlink" xfId="3583" builtinId="9" hidden="1"/>
    <cellStyle name="Followed Hyperlink" xfId="3584" builtinId="9" hidden="1"/>
    <cellStyle name="Followed Hyperlink" xfId="3585" builtinId="9" hidden="1"/>
    <cellStyle name="Followed Hyperlink" xfId="3586" builtinId="9" hidden="1"/>
    <cellStyle name="Followed Hyperlink" xfId="3587" builtinId="9" hidden="1"/>
    <cellStyle name="Followed Hyperlink" xfId="3588" builtinId="9" hidden="1"/>
    <cellStyle name="Followed Hyperlink" xfId="3589" builtinId="9" hidden="1"/>
    <cellStyle name="Followed Hyperlink" xfId="3590" builtinId="9" hidden="1"/>
    <cellStyle name="Followed Hyperlink" xfId="3591" builtinId="9" hidden="1"/>
    <cellStyle name="Followed Hyperlink" xfId="3592" builtinId="9" hidden="1"/>
    <cellStyle name="Followed Hyperlink" xfId="3593" builtinId="9" hidden="1"/>
    <cellStyle name="Followed Hyperlink" xfId="3594" builtinId="9" hidden="1"/>
    <cellStyle name="Followed Hyperlink" xfId="3595" builtinId="9" hidden="1"/>
    <cellStyle name="Followed Hyperlink" xfId="3596" builtinId="9" hidden="1"/>
    <cellStyle name="Followed Hyperlink" xfId="3597" builtinId="9" hidden="1"/>
    <cellStyle name="Followed Hyperlink" xfId="3598" builtinId="9" hidden="1"/>
    <cellStyle name="Followed Hyperlink" xfId="3599" builtinId="9" hidden="1"/>
    <cellStyle name="Followed Hyperlink" xfId="3600" builtinId="9" hidden="1"/>
    <cellStyle name="Followed Hyperlink" xfId="3601" builtinId="9" hidden="1"/>
    <cellStyle name="Followed Hyperlink" xfId="3602" builtinId="9" hidden="1"/>
    <cellStyle name="Followed Hyperlink" xfId="3603" builtinId="9" hidden="1"/>
    <cellStyle name="Followed Hyperlink" xfId="3604" builtinId="9" hidden="1"/>
    <cellStyle name="Followed Hyperlink" xfId="3605" builtinId="9" hidden="1"/>
    <cellStyle name="Followed Hyperlink" xfId="3606" builtinId="9" hidden="1"/>
    <cellStyle name="Followed Hyperlink" xfId="3607" builtinId="9" hidden="1"/>
    <cellStyle name="Followed Hyperlink" xfId="3608" builtinId="9" hidden="1"/>
    <cellStyle name="Followed Hyperlink" xfId="3609" builtinId="9" hidden="1"/>
    <cellStyle name="Followed Hyperlink" xfId="3610" builtinId="9" hidden="1"/>
    <cellStyle name="Followed Hyperlink" xfId="3611" builtinId="9" hidden="1"/>
    <cellStyle name="Followed Hyperlink" xfId="3612" builtinId="9" hidden="1"/>
    <cellStyle name="Followed Hyperlink" xfId="3613" builtinId="9" hidden="1"/>
    <cellStyle name="Followed Hyperlink" xfId="3614" builtinId="9" hidden="1"/>
    <cellStyle name="Followed Hyperlink" xfId="3615" builtinId="9" hidden="1"/>
    <cellStyle name="Followed Hyperlink" xfId="3616" builtinId="9" hidden="1"/>
    <cellStyle name="Followed Hyperlink" xfId="3617" builtinId="9" hidden="1"/>
    <cellStyle name="Followed Hyperlink" xfId="3618" builtinId="9" hidden="1"/>
    <cellStyle name="Followed Hyperlink" xfId="3619" builtinId="9" hidden="1"/>
    <cellStyle name="Followed Hyperlink" xfId="3620" builtinId="9" hidden="1"/>
    <cellStyle name="Followed Hyperlink" xfId="3621" builtinId="9" hidden="1"/>
    <cellStyle name="Followed Hyperlink" xfId="3622" builtinId="9" hidden="1"/>
    <cellStyle name="Followed Hyperlink" xfId="3623" builtinId="9" hidden="1"/>
    <cellStyle name="Followed Hyperlink" xfId="3624" builtinId="9" hidden="1"/>
    <cellStyle name="Followed Hyperlink" xfId="3625" builtinId="9" hidden="1"/>
    <cellStyle name="Followed Hyperlink" xfId="3626" builtinId="9" hidden="1"/>
    <cellStyle name="Followed Hyperlink" xfId="3627" builtinId="9" hidden="1"/>
    <cellStyle name="Followed Hyperlink" xfId="3628" builtinId="9" hidden="1"/>
    <cellStyle name="Followed Hyperlink" xfId="3629" builtinId="9" hidden="1"/>
    <cellStyle name="Followed Hyperlink" xfId="3630" builtinId="9" hidden="1"/>
    <cellStyle name="Followed Hyperlink" xfId="3631" builtinId="9" hidden="1"/>
    <cellStyle name="Followed Hyperlink" xfId="3632" builtinId="9" hidden="1"/>
    <cellStyle name="Followed Hyperlink" xfId="3633" builtinId="9" hidden="1"/>
    <cellStyle name="Followed Hyperlink" xfId="3634" builtinId="9" hidden="1"/>
    <cellStyle name="Followed Hyperlink" xfId="3635" builtinId="9" hidden="1"/>
    <cellStyle name="Followed Hyperlink" xfId="3636" builtinId="9" hidden="1"/>
    <cellStyle name="Followed Hyperlink" xfId="3637" builtinId="9" hidden="1"/>
    <cellStyle name="Followed Hyperlink" xfId="3638" builtinId="9" hidden="1"/>
    <cellStyle name="Followed Hyperlink" xfId="3639" builtinId="9" hidden="1"/>
    <cellStyle name="Followed Hyperlink" xfId="3640" builtinId="9" hidden="1"/>
    <cellStyle name="Followed Hyperlink" xfId="3641" builtinId="9" hidden="1"/>
    <cellStyle name="Followed Hyperlink" xfId="3642" builtinId="9" hidden="1"/>
    <cellStyle name="Followed Hyperlink" xfId="3643" builtinId="9" hidden="1"/>
    <cellStyle name="Followed Hyperlink" xfId="3644" builtinId="9" hidden="1"/>
    <cellStyle name="Followed Hyperlink" xfId="3645" builtinId="9" hidden="1"/>
    <cellStyle name="Followed Hyperlink" xfId="3646" builtinId="9" hidden="1"/>
    <cellStyle name="Followed Hyperlink" xfId="3647" builtinId="9" hidden="1"/>
    <cellStyle name="Followed Hyperlink" xfId="3648" builtinId="9" hidden="1"/>
    <cellStyle name="Followed Hyperlink" xfId="3649" builtinId="9" hidden="1"/>
    <cellStyle name="Followed Hyperlink" xfId="3650" builtinId="9" hidden="1"/>
    <cellStyle name="Followed Hyperlink" xfId="3651" builtinId="9" hidden="1"/>
    <cellStyle name="Followed Hyperlink" xfId="3652" builtinId="9" hidden="1"/>
    <cellStyle name="Followed Hyperlink" xfId="3653" builtinId="9" hidden="1"/>
    <cellStyle name="Followed Hyperlink" xfId="3654" builtinId="9" hidden="1"/>
    <cellStyle name="Followed Hyperlink" xfId="3655" builtinId="9" hidden="1"/>
    <cellStyle name="Followed Hyperlink" xfId="3656"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2" builtinId="9" hidden="1"/>
    <cellStyle name="Followed Hyperlink" xfId="3663" builtinId="9" hidden="1"/>
    <cellStyle name="Followed Hyperlink" xfId="3664" builtinId="9" hidden="1"/>
    <cellStyle name="Followed Hyperlink" xfId="3665" builtinId="9" hidden="1"/>
    <cellStyle name="Followed Hyperlink" xfId="3666" builtinId="9" hidden="1"/>
    <cellStyle name="Followed Hyperlink" xfId="3667" builtinId="9" hidden="1"/>
    <cellStyle name="Followed Hyperlink" xfId="3668" builtinId="9" hidden="1"/>
    <cellStyle name="Followed Hyperlink" xfId="3669" builtinId="9" hidden="1"/>
    <cellStyle name="Followed Hyperlink" xfId="3670" builtinId="9" hidden="1"/>
    <cellStyle name="Followed Hyperlink" xfId="3671" builtinId="9" hidden="1"/>
    <cellStyle name="Followed Hyperlink" xfId="3672" builtinId="9" hidden="1"/>
    <cellStyle name="Followed Hyperlink" xfId="3673" builtinId="9" hidden="1"/>
    <cellStyle name="Followed Hyperlink" xfId="3674" builtinId="9" hidden="1"/>
    <cellStyle name="Followed Hyperlink" xfId="3675" builtinId="9" hidden="1"/>
    <cellStyle name="Followed Hyperlink" xfId="3676" builtinId="9" hidden="1"/>
    <cellStyle name="Followed Hyperlink" xfId="3677" builtinId="9" hidden="1"/>
    <cellStyle name="Followed Hyperlink" xfId="3678" builtinId="9" hidden="1"/>
    <cellStyle name="Followed Hyperlink" xfId="3679" builtinId="9" hidden="1"/>
    <cellStyle name="Followed Hyperlink" xfId="3680" builtinId="9" hidden="1"/>
    <cellStyle name="Followed Hyperlink" xfId="3681" builtinId="9" hidden="1"/>
    <cellStyle name="Followed Hyperlink" xfId="3682" builtinId="9" hidden="1"/>
    <cellStyle name="Followed Hyperlink" xfId="3683" builtinId="9" hidden="1"/>
    <cellStyle name="Followed Hyperlink" xfId="3684" builtinId="9" hidden="1"/>
    <cellStyle name="Followed Hyperlink" xfId="3685" builtinId="9" hidden="1"/>
    <cellStyle name="Followed Hyperlink" xfId="3686" builtinId="9" hidden="1"/>
    <cellStyle name="Followed Hyperlink" xfId="3687" builtinId="9" hidden="1"/>
    <cellStyle name="Followed Hyperlink" xfId="3688" builtinId="9" hidden="1"/>
    <cellStyle name="Followed Hyperlink" xfId="3689" builtinId="9" hidden="1"/>
    <cellStyle name="Followed Hyperlink" xfId="3690" builtinId="9" hidden="1"/>
    <cellStyle name="Followed Hyperlink" xfId="3691" builtinId="9" hidden="1"/>
    <cellStyle name="Followed Hyperlink" xfId="3692"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8" builtinId="9" hidden="1"/>
    <cellStyle name="Followed Hyperlink" xfId="3699" builtinId="9" hidden="1"/>
    <cellStyle name="Followed Hyperlink" xfId="3700" builtinId="9" hidden="1"/>
    <cellStyle name="Followed Hyperlink" xfId="3701" builtinId="9" hidden="1"/>
    <cellStyle name="Followed Hyperlink" xfId="3702" builtinId="9" hidden="1"/>
    <cellStyle name="Followed Hyperlink" xfId="3703" builtinId="9" hidden="1"/>
    <cellStyle name="Followed Hyperlink" xfId="3704" builtinId="9" hidden="1"/>
    <cellStyle name="Followed Hyperlink" xfId="3705" builtinId="9" hidden="1"/>
    <cellStyle name="Followed Hyperlink" xfId="3706" builtinId="9" hidden="1"/>
    <cellStyle name="Followed Hyperlink" xfId="3707" builtinId="9" hidden="1"/>
    <cellStyle name="Followed Hyperlink" xfId="3708" builtinId="9" hidden="1"/>
    <cellStyle name="Followed Hyperlink" xfId="3709" builtinId="9" hidden="1"/>
    <cellStyle name="Followed Hyperlink" xfId="3710" builtinId="9" hidden="1"/>
    <cellStyle name="Followed Hyperlink" xfId="3711" builtinId="9" hidden="1"/>
    <cellStyle name="Followed Hyperlink" xfId="3712" builtinId="9" hidden="1"/>
    <cellStyle name="Followed Hyperlink" xfId="3713" builtinId="9" hidden="1"/>
    <cellStyle name="Followed Hyperlink" xfId="3714" builtinId="9" hidden="1"/>
    <cellStyle name="Followed Hyperlink" xfId="3715" builtinId="9" hidden="1"/>
    <cellStyle name="Followed Hyperlink" xfId="3716" builtinId="9" hidden="1"/>
    <cellStyle name="Followed Hyperlink" xfId="3717" builtinId="9" hidden="1"/>
    <cellStyle name="Followed Hyperlink" xfId="3718" builtinId="9" hidden="1"/>
    <cellStyle name="Followed Hyperlink" xfId="3719" builtinId="9" hidden="1"/>
    <cellStyle name="Followed Hyperlink" xfId="3720" builtinId="9" hidden="1"/>
    <cellStyle name="Followed Hyperlink" xfId="3721" builtinId="9" hidden="1"/>
    <cellStyle name="Followed Hyperlink" xfId="3722" builtinId="9" hidden="1"/>
    <cellStyle name="Followed Hyperlink" xfId="3723" builtinId="9" hidden="1"/>
    <cellStyle name="Followed Hyperlink" xfId="3724" builtinId="9" hidden="1"/>
    <cellStyle name="Followed Hyperlink" xfId="3725" builtinId="9" hidden="1"/>
    <cellStyle name="Followed Hyperlink" xfId="3726" builtinId="9" hidden="1"/>
    <cellStyle name="Followed Hyperlink" xfId="3727"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32" builtinId="9" hidden="1"/>
    <cellStyle name="Followed Hyperlink" xfId="3733" builtinId="9" hidden="1"/>
    <cellStyle name="Followed Hyperlink" xfId="3734" builtinId="9" hidden="1"/>
    <cellStyle name="Followed Hyperlink" xfId="3735" builtinId="9" hidden="1"/>
    <cellStyle name="Followed Hyperlink" xfId="3736" builtinId="9" hidden="1"/>
    <cellStyle name="Followed Hyperlink" xfId="3737" builtinId="9" hidden="1"/>
    <cellStyle name="Followed Hyperlink" xfId="3738" builtinId="9" hidden="1"/>
    <cellStyle name="Followed Hyperlink" xfId="3739" builtinId="9" hidden="1"/>
    <cellStyle name="Followed Hyperlink" xfId="3740" builtinId="9" hidden="1"/>
    <cellStyle name="Followed Hyperlink" xfId="3741" builtinId="9" hidden="1"/>
    <cellStyle name="Followed Hyperlink" xfId="3742" builtinId="9" hidden="1"/>
    <cellStyle name="Followed Hyperlink" xfId="3743" builtinId="9" hidden="1"/>
    <cellStyle name="Followed Hyperlink" xfId="3744" builtinId="9" hidden="1"/>
    <cellStyle name="Followed Hyperlink" xfId="3745" builtinId="9" hidden="1"/>
    <cellStyle name="Followed Hyperlink" xfId="3746" builtinId="9" hidden="1"/>
    <cellStyle name="Followed Hyperlink" xfId="3747" builtinId="9" hidden="1"/>
    <cellStyle name="Followed Hyperlink" xfId="3748" builtinId="9" hidden="1"/>
    <cellStyle name="Followed Hyperlink" xfId="3749" builtinId="9" hidden="1"/>
    <cellStyle name="Followed Hyperlink" xfId="3750" builtinId="9" hidden="1"/>
    <cellStyle name="Followed Hyperlink" xfId="3751" builtinId="9" hidden="1"/>
    <cellStyle name="Followed Hyperlink" xfId="3752" builtinId="9" hidden="1"/>
    <cellStyle name="Followed Hyperlink" xfId="3753" builtinId="9" hidden="1"/>
    <cellStyle name="Followed Hyperlink" xfId="3754" builtinId="9" hidden="1"/>
    <cellStyle name="Followed Hyperlink" xfId="3755" builtinId="9" hidden="1"/>
    <cellStyle name="Followed Hyperlink" xfId="3756" builtinId="9" hidden="1"/>
    <cellStyle name="Followed Hyperlink" xfId="3757" builtinId="9" hidden="1"/>
    <cellStyle name="Followed Hyperlink" xfId="3758" builtinId="9" hidden="1"/>
    <cellStyle name="Followed Hyperlink" xfId="3759" builtinId="9" hidden="1"/>
    <cellStyle name="Followed Hyperlink" xfId="3760" builtinId="9" hidden="1"/>
    <cellStyle name="Followed Hyperlink" xfId="3761" builtinId="9" hidden="1"/>
    <cellStyle name="Followed Hyperlink" xfId="3762" builtinId="9" hidden="1"/>
    <cellStyle name="Followed Hyperlink" xfId="3763" builtinId="9" hidden="1"/>
    <cellStyle name="Followed Hyperlink" xfId="3764" builtinId="9" hidden="1"/>
    <cellStyle name="Followed Hyperlink" xfId="3765" builtinId="9" hidden="1"/>
    <cellStyle name="Followed Hyperlink" xfId="3766" builtinId="9" hidden="1"/>
    <cellStyle name="Followed Hyperlink" xfId="3767" builtinId="9" hidden="1"/>
    <cellStyle name="Followed Hyperlink" xfId="3768" builtinId="9" hidden="1"/>
    <cellStyle name="Followed Hyperlink" xfId="3769" builtinId="9" hidden="1"/>
    <cellStyle name="Followed Hyperlink" xfId="3770" builtinId="9" hidden="1"/>
    <cellStyle name="Followed Hyperlink" xfId="3771" builtinId="9" hidden="1"/>
    <cellStyle name="Followed Hyperlink" xfId="3772" builtinId="9" hidden="1"/>
    <cellStyle name="Followed Hyperlink" xfId="3773" builtinId="9" hidden="1"/>
    <cellStyle name="Followed Hyperlink" xfId="3774" builtinId="9" hidden="1"/>
    <cellStyle name="Followed Hyperlink" xfId="3775" builtinId="9" hidden="1"/>
    <cellStyle name="Followed Hyperlink" xfId="3776" builtinId="9" hidden="1"/>
    <cellStyle name="Followed Hyperlink" xfId="3777" builtinId="9" hidden="1"/>
    <cellStyle name="Followed Hyperlink" xfId="3778" builtinId="9" hidden="1"/>
    <cellStyle name="Followed Hyperlink" xfId="3779" builtinId="9" hidden="1"/>
    <cellStyle name="Followed Hyperlink" xfId="3780" builtinId="9" hidden="1"/>
    <cellStyle name="Followed Hyperlink" xfId="3781"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6" builtinId="9" hidden="1"/>
    <cellStyle name="Followed Hyperlink" xfId="3787" builtinId="9" hidden="1"/>
    <cellStyle name="Followed Hyperlink" xfId="3788" builtinId="9" hidden="1"/>
    <cellStyle name="Followed Hyperlink" xfId="3789" builtinId="9" hidden="1"/>
    <cellStyle name="Followed Hyperlink" xfId="3790" builtinId="9" hidden="1"/>
    <cellStyle name="Followed Hyperlink" xfId="3791" builtinId="9" hidden="1"/>
    <cellStyle name="Followed Hyperlink" xfId="3792" builtinId="9" hidden="1"/>
    <cellStyle name="Followed Hyperlink" xfId="3793" builtinId="9" hidden="1"/>
    <cellStyle name="Followed Hyperlink" xfId="3794" builtinId="9" hidden="1"/>
    <cellStyle name="Followed Hyperlink" xfId="3795" builtinId="9" hidden="1"/>
    <cellStyle name="Followed Hyperlink" xfId="3796" builtinId="9" hidden="1"/>
    <cellStyle name="Followed Hyperlink" xfId="3797" builtinId="9" hidden="1"/>
    <cellStyle name="Followed Hyperlink" xfId="3798"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4" builtinId="9" hidden="1"/>
    <cellStyle name="Followed Hyperlink" xfId="3805" builtinId="9" hidden="1"/>
    <cellStyle name="Followed Hyperlink" xfId="3806" builtinId="9" hidden="1"/>
    <cellStyle name="Followed Hyperlink" xfId="3807" builtinId="9" hidden="1"/>
    <cellStyle name="Followed Hyperlink" xfId="3808" builtinId="9" hidden="1"/>
    <cellStyle name="Followed Hyperlink" xfId="3809" builtinId="9" hidden="1"/>
    <cellStyle name="Followed Hyperlink" xfId="3810" builtinId="9" hidden="1"/>
    <cellStyle name="Followed Hyperlink" xfId="3811" builtinId="9" hidden="1"/>
    <cellStyle name="Followed Hyperlink" xfId="3812" builtinId="9" hidden="1"/>
    <cellStyle name="Followed Hyperlink" xfId="3813" builtinId="9" hidden="1"/>
    <cellStyle name="Followed Hyperlink" xfId="3814" builtinId="9" hidden="1"/>
    <cellStyle name="Followed Hyperlink" xfId="3815" builtinId="9" hidden="1"/>
    <cellStyle name="Followed Hyperlink" xfId="3816" builtinId="9" hidden="1"/>
    <cellStyle name="Followed Hyperlink" xfId="3817" builtinId="9" hidden="1"/>
    <cellStyle name="Followed Hyperlink" xfId="3818" builtinId="9" hidden="1"/>
    <cellStyle name="Followed Hyperlink" xfId="3819" builtinId="9" hidden="1"/>
    <cellStyle name="Followed Hyperlink" xfId="3820" builtinId="9" hidden="1"/>
    <cellStyle name="Followed Hyperlink" xfId="3821" builtinId="9" hidden="1"/>
    <cellStyle name="Followed Hyperlink" xfId="3822" builtinId="9" hidden="1"/>
    <cellStyle name="Followed Hyperlink" xfId="3823" builtinId="9" hidden="1"/>
    <cellStyle name="Followed Hyperlink" xfId="3824" builtinId="9" hidden="1"/>
    <cellStyle name="Followed Hyperlink" xfId="3825" builtinId="9" hidden="1"/>
    <cellStyle name="Followed Hyperlink" xfId="3826" builtinId="9" hidden="1"/>
    <cellStyle name="Followed Hyperlink" xfId="3827" builtinId="9" hidden="1"/>
    <cellStyle name="Followed Hyperlink" xfId="3828" builtinId="9" hidden="1"/>
    <cellStyle name="Followed Hyperlink" xfId="3829" builtinId="9" hidden="1"/>
    <cellStyle name="Followed Hyperlink" xfId="3830" builtinId="9" hidden="1"/>
    <cellStyle name="Followed Hyperlink" xfId="3831" builtinId="9" hidden="1"/>
    <cellStyle name="Followed Hyperlink" xfId="3832" builtinId="9" hidden="1"/>
    <cellStyle name="Followed Hyperlink" xfId="3833" builtinId="9" hidden="1"/>
    <cellStyle name="Followed Hyperlink" xfId="3834"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0" builtinId="9" hidden="1"/>
    <cellStyle name="Followed Hyperlink" xfId="3841" builtinId="9" hidden="1"/>
    <cellStyle name="Followed Hyperlink" xfId="3842" builtinId="9" hidden="1"/>
    <cellStyle name="Followed Hyperlink" xfId="3843" builtinId="9" hidden="1"/>
    <cellStyle name="Followed Hyperlink" xfId="3844" builtinId="9" hidden="1"/>
    <cellStyle name="Followed Hyperlink" xfId="3845" builtinId="9" hidden="1"/>
    <cellStyle name="Followed Hyperlink" xfId="3846" builtinId="9" hidden="1"/>
    <cellStyle name="Followed Hyperlink" xfId="3847" builtinId="9" hidden="1"/>
    <cellStyle name="Followed Hyperlink" xfId="3848" builtinId="9" hidden="1"/>
    <cellStyle name="Followed Hyperlink" xfId="3849" builtinId="9" hidden="1"/>
    <cellStyle name="Followed Hyperlink" xfId="3850" builtinId="9" hidden="1"/>
    <cellStyle name="Followed Hyperlink" xfId="3851" builtinId="9" hidden="1"/>
    <cellStyle name="Followed Hyperlink" xfId="3852" builtinId="9" hidden="1"/>
    <cellStyle name="Followed Hyperlink" xfId="3853" builtinId="9" hidden="1"/>
    <cellStyle name="Followed Hyperlink" xfId="3854" builtinId="9" hidden="1"/>
    <cellStyle name="Followed Hyperlink" xfId="3855" builtinId="9" hidden="1"/>
    <cellStyle name="Followed Hyperlink" xfId="3856" builtinId="9" hidden="1"/>
    <cellStyle name="Followed Hyperlink" xfId="3857" builtinId="9" hidden="1"/>
    <cellStyle name="Followed Hyperlink" xfId="3858" builtinId="9" hidden="1"/>
    <cellStyle name="Followed Hyperlink" xfId="3859" builtinId="9" hidden="1"/>
    <cellStyle name="Followed Hyperlink" xfId="3860" builtinId="9" hidden="1"/>
    <cellStyle name="Followed Hyperlink" xfId="3861" builtinId="9" hidden="1"/>
    <cellStyle name="Followed Hyperlink" xfId="3862" builtinId="9" hidden="1"/>
    <cellStyle name="Followed Hyperlink" xfId="3863" builtinId="9" hidden="1"/>
    <cellStyle name="Followed Hyperlink" xfId="3864" builtinId="9" hidden="1"/>
    <cellStyle name="Followed Hyperlink" xfId="3865" builtinId="9" hidden="1"/>
    <cellStyle name="Followed Hyperlink" xfId="3866" builtinId="9" hidden="1"/>
    <cellStyle name="Followed Hyperlink" xfId="3867" builtinId="9" hidden="1"/>
    <cellStyle name="Followed Hyperlink" xfId="3868" builtinId="9" hidden="1"/>
    <cellStyle name="Followed Hyperlink" xfId="3869"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3874" builtinId="9" hidden="1"/>
    <cellStyle name="Followed Hyperlink" xfId="3875" builtinId="9" hidden="1"/>
    <cellStyle name="Followed Hyperlink" xfId="3876" builtinId="9" hidden="1"/>
    <cellStyle name="Followed Hyperlink" xfId="3877" builtinId="9" hidden="1"/>
    <cellStyle name="Followed Hyperlink" xfId="3878" builtinId="9" hidden="1"/>
    <cellStyle name="Followed Hyperlink" xfId="3879" builtinId="9" hidden="1"/>
    <cellStyle name="Followed Hyperlink" xfId="3880" builtinId="9" hidden="1"/>
    <cellStyle name="Followed Hyperlink" xfId="3881" builtinId="9" hidden="1"/>
    <cellStyle name="Followed Hyperlink" xfId="3882" builtinId="9" hidden="1"/>
    <cellStyle name="Followed Hyperlink" xfId="3883" builtinId="9" hidden="1"/>
    <cellStyle name="Followed Hyperlink" xfId="3884" builtinId="9" hidden="1"/>
    <cellStyle name="Followed Hyperlink" xfId="3885" builtinId="9" hidden="1"/>
    <cellStyle name="Followed Hyperlink" xfId="3886" builtinId="9" hidden="1"/>
    <cellStyle name="Followed Hyperlink" xfId="3887" builtinId="9" hidden="1"/>
    <cellStyle name="Followed Hyperlink" xfId="3888" builtinId="9" hidden="1"/>
    <cellStyle name="Followed Hyperlink" xfId="3889" builtinId="9" hidden="1"/>
    <cellStyle name="Followed Hyperlink" xfId="3890" builtinId="9" hidden="1"/>
    <cellStyle name="Followed Hyperlink" xfId="3891" builtinId="9" hidden="1"/>
    <cellStyle name="Followed Hyperlink" xfId="3892"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8" builtinId="9" hidden="1"/>
    <cellStyle name="Followed Hyperlink" xfId="3899" builtinId="9" hidden="1"/>
    <cellStyle name="Followed Hyperlink" xfId="3900" builtinId="9" hidden="1"/>
    <cellStyle name="Followed Hyperlink" xfId="3901" builtinId="9" hidden="1"/>
    <cellStyle name="Followed Hyperlink" xfId="3902" builtinId="9" hidden="1"/>
    <cellStyle name="Followed Hyperlink" xfId="3903" builtinId="9" hidden="1"/>
    <cellStyle name="Followed Hyperlink" xfId="3904" builtinId="9" hidden="1"/>
    <cellStyle name="Followed Hyperlink" xfId="3905" builtinId="9" hidden="1"/>
    <cellStyle name="Followed Hyperlink" xfId="3906" builtinId="9" hidden="1"/>
    <cellStyle name="Followed Hyperlink" xfId="3907" builtinId="9" hidden="1"/>
    <cellStyle name="Followed Hyperlink" xfId="3908" builtinId="9" hidden="1"/>
    <cellStyle name="Followed Hyperlink" xfId="3909" builtinId="9" hidden="1"/>
    <cellStyle name="Followed Hyperlink" xfId="3910" builtinId="9" hidden="1"/>
    <cellStyle name="Followed Hyperlink" xfId="3911" builtinId="9" hidden="1"/>
    <cellStyle name="Followed Hyperlink" xfId="3912" builtinId="9" hidden="1"/>
    <cellStyle name="Followed Hyperlink" xfId="3913" builtinId="9" hidden="1"/>
    <cellStyle name="Followed Hyperlink" xfId="3914" builtinId="9" hidden="1"/>
    <cellStyle name="Followed Hyperlink" xfId="3915" builtinId="9" hidden="1"/>
    <cellStyle name="Followed Hyperlink" xfId="3916" builtinId="9" hidden="1"/>
    <cellStyle name="Followed Hyperlink" xfId="3917" builtinId="9" hidden="1"/>
    <cellStyle name="Followed Hyperlink" xfId="3918" builtinId="9" hidden="1"/>
    <cellStyle name="Followed Hyperlink" xfId="3919" builtinId="9" hidden="1"/>
    <cellStyle name="Followed Hyperlink" xfId="3920" builtinId="9" hidden="1"/>
    <cellStyle name="Followed Hyperlink" xfId="3921" builtinId="9" hidden="1"/>
    <cellStyle name="Followed Hyperlink" xfId="3922" builtinId="9" hidden="1"/>
    <cellStyle name="Followed Hyperlink" xfId="3923" builtinId="9" hidden="1"/>
    <cellStyle name="Followed Hyperlink" xfId="3924" builtinId="9" hidden="1"/>
    <cellStyle name="Followed Hyperlink" xfId="3925" builtinId="9" hidden="1"/>
    <cellStyle name="Followed Hyperlink" xfId="3926" builtinId="9" hidden="1"/>
    <cellStyle name="Followed Hyperlink" xfId="3927" builtinId="9" hidden="1"/>
    <cellStyle name="Followed Hyperlink" xfId="3928" builtinId="9" hidden="1"/>
    <cellStyle name="Followed Hyperlink" xfId="3929" builtinId="9" hidden="1"/>
    <cellStyle name="Followed Hyperlink" xfId="3930" builtinId="9" hidden="1"/>
    <cellStyle name="Followed Hyperlink" xfId="3931" builtinId="9" hidden="1"/>
    <cellStyle name="Followed Hyperlink" xfId="3932" builtinId="9" hidden="1"/>
    <cellStyle name="Followed Hyperlink" xfId="3933" builtinId="9" hidden="1"/>
    <cellStyle name="Followed Hyperlink" xfId="3934" builtinId="9" hidden="1"/>
    <cellStyle name="Followed Hyperlink" xfId="3935" builtinId="9" hidden="1"/>
    <cellStyle name="Followed Hyperlink" xfId="3936" builtinId="9" hidden="1"/>
    <cellStyle name="Followed Hyperlink" xfId="3937" builtinId="9" hidden="1"/>
    <cellStyle name="Followed Hyperlink" xfId="3938" builtinId="9" hidden="1"/>
    <cellStyle name="Followed Hyperlink" xfId="3939" builtinId="9" hidden="1"/>
    <cellStyle name="Followed Hyperlink" xfId="3940" builtinId="9" hidden="1"/>
    <cellStyle name="Followed Hyperlink" xfId="3941" builtinId="9" hidden="1"/>
    <cellStyle name="Followed Hyperlink" xfId="3942" builtinId="9" hidden="1"/>
    <cellStyle name="Followed Hyperlink" xfId="3943" builtinId="9" hidden="1"/>
    <cellStyle name="Followed Hyperlink" xfId="3944" builtinId="9" hidden="1"/>
    <cellStyle name="Followed Hyperlink" xfId="3945" builtinId="9" hidden="1"/>
    <cellStyle name="Followed Hyperlink" xfId="3946" builtinId="9" hidden="1"/>
    <cellStyle name="Followed Hyperlink" xfId="3947" builtinId="9" hidden="1"/>
    <cellStyle name="Followed Hyperlink" xfId="3948" builtinId="9" hidden="1"/>
    <cellStyle name="Followed Hyperlink" xfId="3949" builtinId="9" hidden="1"/>
    <cellStyle name="Followed Hyperlink" xfId="3950" builtinId="9" hidden="1"/>
    <cellStyle name="Followed Hyperlink" xfId="3951" builtinId="9" hidden="1"/>
    <cellStyle name="Followed Hyperlink" xfId="3952" builtinId="9" hidden="1"/>
    <cellStyle name="Followed Hyperlink" xfId="3953" builtinId="9" hidden="1"/>
    <cellStyle name="Followed Hyperlink" xfId="3954" builtinId="9" hidden="1"/>
    <cellStyle name="Followed Hyperlink" xfId="3955" builtinId="9" hidden="1"/>
    <cellStyle name="Followed Hyperlink" xfId="3956" builtinId="9" hidden="1"/>
    <cellStyle name="Followed Hyperlink" xfId="3957" builtinId="9" hidden="1"/>
    <cellStyle name="Followed Hyperlink" xfId="3958" builtinId="9" hidden="1"/>
    <cellStyle name="Followed Hyperlink" xfId="3959" builtinId="9" hidden="1"/>
    <cellStyle name="Followed Hyperlink" xfId="3960" builtinId="9" hidden="1"/>
    <cellStyle name="Followed Hyperlink" xfId="3961" builtinId="9" hidden="1"/>
    <cellStyle name="Followed Hyperlink" xfId="3962" builtinId="9" hidden="1"/>
    <cellStyle name="Followed Hyperlink" xfId="3963" builtinId="9" hidden="1"/>
    <cellStyle name="Followed Hyperlink" xfId="3964" builtinId="9" hidden="1"/>
    <cellStyle name="Followed Hyperlink" xfId="3965" builtinId="9" hidden="1"/>
    <cellStyle name="Followed Hyperlink" xfId="3966" builtinId="9" hidden="1"/>
    <cellStyle name="Followed Hyperlink" xfId="3967" builtinId="9" hidden="1"/>
    <cellStyle name="Followed Hyperlink" xfId="3968" builtinId="9" hidden="1"/>
    <cellStyle name="Followed Hyperlink" xfId="3969" builtinId="9" hidden="1"/>
    <cellStyle name="Followed Hyperlink" xfId="3970" builtinId="9" hidden="1"/>
    <cellStyle name="Followed Hyperlink" xfId="3971" builtinId="9" hidden="1"/>
    <cellStyle name="Followed Hyperlink" xfId="3972" builtinId="9" hidden="1"/>
    <cellStyle name="Followed Hyperlink" xfId="3973" builtinId="9" hidden="1"/>
    <cellStyle name="Followed Hyperlink" xfId="3974" builtinId="9" hidden="1"/>
    <cellStyle name="Followed Hyperlink" xfId="3975" builtinId="9" hidden="1"/>
    <cellStyle name="Followed Hyperlink" xfId="3976" builtinId="9" hidden="1"/>
    <cellStyle name="Followed Hyperlink" xfId="3977" builtinId="9" hidden="1"/>
    <cellStyle name="Followed Hyperlink" xfId="3978" builtinId="9" hidden="1"/>
    <cellStyle name="Followed Hyperlink" xfId="3979" builtinId="9" hidden="1"/>
    <cellStyle name="Followed Hyperlink" xfId="3980" builtinId="9" hidden="1"/>
    <cellStyle name="Followed Hyperlink" xfId="3981" builtinId="9" hidden="1"/>
    <cellStyle name="Followed Hyperlink" xfId="3982" builtinId="9" hidden="1"/>
    <cellStyle name="Followed Hyperlink" xfId="3983" builtinId="9" hidden="1"/>
    <cellStyle name="Followed Hyperlink" xfId="3984" builtinId="9" hidden="1"/>
    <cellStyle name="Followed Hyperlink" xfId="3985" builtinId="9" hidden="1"/>
    <cellStyle name="Followed Hyperlink" xfId="3986" builtinId="9" hidden="1"/>
    <cellStyle name="Followed Hyperlink" xfId="3987" builtinId="9" hidden="1"/>
    <cellStyle name="Followed Hyperlink" xfId="3988" builtinId="9" hidden="1"/>
    <cellStyle name="Followed Hyperlink" xfId="3989" builtinId="9" hidden="1"/>
    <cellStyle name="Followed Hyperlink" xfId="3990" builtinId="9" hidden="1"/>
    <cellStyle name="Followed Hyperlink" xfId="3991" builtinId="9" hidden="1"/>
    <cellStyle name="Followed Hyperlink" xfId="3992" builtinId="9" hidden="1"/>
    <cellStyle name="Followed Hyperlink" xfId="3993" builtinId="9" hidden="1"/>
    <cellStyle name="Followed Hyperlink" xfId="3994" builtinId="9" hidden="1"/>
    <cellStyle name="Followed Hyperlink" xfId="3995" builtinId="9" hidden="1"/>
    <cellStyle name="Followed Hyperlink" xfId="3996" builtinId="9" hidden="1"/>
    <cellStyle name="Followed Hyperlink" xfId="3997" builtinId="9" hidden="1"/>
    <cellStyle name="Followed Hyperlink" xfId="3998"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04" builtinId="9" hidden="1"/>
    <cellStyle name="Followed Hyperlink" xfId="4005" builtinId="9" hidden="1"/>
    <cellStyle name="Followed Hyperlink" xfId="4006" builtinId="9" hidden="1"/>
    <cellStyle name="Followed Hyperlink" xfId="4007" builtinId="9" hidden="1"/>
    <cellStyle name="Followed Hyperlink" xfId="4008" builtinId="9" hidden="1"/>
    <cellStyle name="Followed Hyperlink" xfId="4009" builtinId="9" hidden="1"/>
    <cellStyle name="Followed Hyperlink" xfId="4010" builtinId="9" hidden="1"/>
    <cellStyle name="Followed Hyperlink" xfId="4011" builtinId="9" hidden="1"/>
    <cellStyle name="Followed Hyperlink" xfId="4012" builtinId="9" hidden="1"/>
    <cellStyle name="Followed Hyperlink" xfId="4013" builtinId="9" hidden="1"/>
    <cellStyle name="Followed Hyperlink" xfId="4014" builtinId="9" hidden="1"/>
    <cellStyle name="Followed Hyperlink" xfId="4015" builtinId="9" hidden="1"/>
    <cellStyle name="Followed Hyperlink" xfId="4016" builtinId="9" hidden="1"/>
    <cellStyle name="Followed Hyperlink" xfId="4017" builtinId="9" hidden="1"/>
    <cellStyle name="Followed Hyperlink" xfId="4018" builtinId="9" hidden="1"/>
    <cellStyle name="Followed Hyperlink" xfId="4019" builtinId="9" hidden="1"/>
    <cellStyle name="Followed Hyperlink" xfId="4020" builtinId="9" hidden="1"/>
    <cellStyle name="Followed Hyperlink" xfId="4021" builtinId="9" hidden="1"/>
    <cellStyle name="Followed Hyperlink" xfId="4022" builtinId="9" hidden="1"/>
    <cellStyle name="Followed Hyperlink" xfId="4023" builtinId="9" hidden="1"/>
    <cellStyle name="Followed Hyperlink" xfId="4024" builtinId="9" hidden="1"/>
    <cellStyle name="Followed Hyperlink" xfId="4025" builtinId="9" hidden="1"/>
    <cellStyle name="Followed Hyperlink" xfId="4026" builtinId="9" hidden="1"/>
    <cellStyle name="Followed Hyperlink" xfId="4027" builtinId="9" hidden="1"/>
    <cellStyle name="Followed Hyperlink" xfId="4028" builtinId="9" hidden="1"/>
    <cellStyle name="Followed Hyperlink" xfId="4029" builtinId="9" hidden="1"/>
    <cellStyle name="Followed Hyperlink" xfId="4030" builtinId="9" hidden="1"/>
    <cellStyle name="Followed Hyperlink" xfId="4031" builtinId="9" hidden="1"/>
    <cellStyle name="Followed Hyperlink" xfId="4032" builtinId="9" hidden="1"/>
    <cellStyle name="Followed Hyperlink" xfId="4033" builtinId="9" hidden="1"/>
    <cellStyle name="Followed Hyperlink" xfId="4034" builtinId="9" hidden="1"/>
    <cellStyle name="Followed Hyperlink" xfId="4035" builtinId="9" hidden="1"/>
    <cellStyle name="Followed Hyperlink" xfId="4036" builtinId="9" hidden="1"/>
    <cellStyle name="Followed Hyperlink" xfId="4037" builtinId="9" hidden="1"/>
    <cellStyle name="Followed Hyperlink" xfId="4038" builtinId="9" hidden="1"/>
    <cellStyle name="Followed Hyperlink" xfId="4039"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5" builtinId="9" hidden="1"/>
    <cellStyle name="Followed Hyperlink" xfId="4046" builtinId="9" hidden="1"/>
    <cellStyle name="Followed Hyperlink" xfId="4047" builtinId="9" hidden="1"/>
    <cellStyle name="Followed Hyperlink" xfId="4048" builtinId="9" hidden="1"/>
    <cellStyle name="Followed Hyperlink" xfId="4049" builtinId="9" hidden="1"/>
    <cellStyle name="Followed Hyperlink" xfId="4050" builtinId="9" hidden="1"/>
    <cellStyle name="Followed Hyperlink" xfId="4051" builtinId="9" hidden="1"/>
    <cellStyle name="Followed Hyperlink" xfId="4052" builtinId="9" hidden="1"/>
    <cellStyle name="Followed Hyperlink" xfId="4053" builtinId="9" hidden="1"/>
    <cellStyle name="Followed Hyperlink" xfId="4054" builtinId="9" hidden="1"/>
    <cellStyle name="Followed Hyperlink" xfId="4055" builtinId="9" hidden="1"/>
    <cellStyle name="Followed Hyperlink" xfId="4056" builtinId="9" hidden="1"/>
    <cellStyle name="Followed Hyperlink" xfId="4057" builtinId="9" hidden="1"/>
    <cellStyle name="Followed Hyperlink" xfId="4058" builtinId="9" hidden="1"/>
    <cellStyle name="Followed Hyperlink" xfId="4059" builtinId="9" hidden="1"/>
    <cellStyle name="Followed Hyperlink" xfId="4060" builtinId="9" hidden="1"/>
    <cellStyle name="Followed Hyperlink" xfId="4061" builtinId="9" hidden="1"/>
    <cellStyle name="Followed Hyperlink" xfId="4062" builtinId="9" hidden="1"/>
    <cellStyle name="Followed Hyperlink" xfId="4063" builtinId="9" hidden="1"/>
    <cellStyle name="Followed Hyperlink" xfId="4064" builtinId="9" hidden="1"/>
    <cellStyle name="Followed Hyperlink" xfId="4065" builtinId="9" hidden="1"/>
    <cellStyle name="Followed Hyperlink" xfId="4066" builtinId="9" hidden="1"/>
    <cellStyle name="Followed Hyperlink" xfId="4067" builtinId="9" hidden="1"/>
    <cellStyle name="Followed Hyperlink" xfId="4068" builtinId="9" hidden="1"/>
    <cellStyle name="Followed Hyperlink" xfId="4069" builtinId="9" hidden="1"/>
    <cellStyle name="Followed Hyperlink" xfId="4070" builtinId="9" hidden="1"/>
    <cellStyle name="Followed Hyperlink" xfId="4071" builtinId="9" hidden="1"/>
    <cellStyle name="Followed Hyperlink" xfId="4072" builtinId="9" hidden="1"/>
    <cellStyle name="Followed Hyperlink" xfId="4073" builtinId="9" hidden="1"/>
    <cellStyle name="Followed Hyperlink" xfId="4074" builtinId="9" hidden="1"/>
    <cellStyle name="Followed Hyperlink" xfId="4075" builtinId="9" hidden="1"/>
    <cellStyle name="Followed Hyperlink" xfId="4076" builtinId="9" hidden="1"/>
    <cellStyle name="Followed Hyperlink" xfId="4077" builtinId="9" hidden="1"/>
    <cellStyle name="Followed Hyperlink" xfId="4078" builtinId="9" hidden="1"/>
    <cellStyle name="Followed Hyperlink" xfId="4079" builtinId="9" hidden="1"/>
    <cellStyle name="Followed Hyperlink" xfId="4080" builtinId="9" hidden="1"/>
    <cellStyle name="Followed Hyperlink" xfId="4081" builtinId="9" hidden="1"/>
    <cellStyle name="Followed Hyperlink" xfId="4082" builtinId="9" hidden="1"/>
    <cellStyle name="Followed Hyperlink" xfId="4083" builtinId="9" hidden="1"/>
    <cellStyle name="Followed Hyperlink" xfId="4084" builtinId="9" hidden="1"/>
    <cellStyle name="Followed Hyperlink" xfId="4085" builtinId="9" hidden="1"/>
    <cellStyle name="Followed Hyperlink" xfId="4086" builtinId="9" hidden="1"/>
    <cellStyle name="Followed Hyperlink" xfId="4087" builtinId="9" hidden="1"/>
    <cellStyle name="Followed Hyperlink" xfId="4088" builtinId="9" hidden="1"/>
    <cellStyle name="Followed Hyperlink" xfId="4089" builtinId="9" hidden="1"/>
    <cellStyle name="Followed Hyperlink" xfId="4090" builtinId="9" hidden="1"/>
    <cellStyle name="Followed Hyperlink" xfId="4091" builtinId="9" hidden="1"/>
    <cellStyle name="Followed Hyperlink" xfId="4092" builtinId="9" hidden="1"/>
    <cellStyle name="Followed Hyperlink" xfId="4093" builtinId="9" hidden="1"/>
    <cellStyle name="Followed Hyperlink" xfId="4094" builtinId="9" hidden="1"/>
    <cellStyle name="Followed Hyperlink" xfId="4095" builtinId="9" hidden="1"/>
    <cellStyle name="Followed Hyperlink" xfId="4096" builtinId="9" hidden="1"/>
    <cellStyle name="Followed Hyperlink" xfId="4097" builtinId="9" hidden="1"/>
    <cellStyle name="Followed Hyperlink" xfId="4098" builtinId="9" hidden="1"/>
    <cellStyle name="Followed Hyperlink" xfId="4099" builtinId="9" hidden="1"/>
    <cellStyle name="Followed Hyperlink" xfId="4100" builtinId="9" hidden="1"/>
    <cellStyle name="Followed Hyperlink" xfId="4101" builtinId="9" hidden="1"/>
    <cellStyle name="Followed Hyperlink" xfId="4102" builtinId="9" hidden="1"/>
    <cellStyle name="Followed Hyperlink" xfId="4103" builtinId="9" hidden="1"/>
    <cellStyle name="Followed Hyperlink" xfId="4104" builtinId="9" hidden="1"/>
    <cellStyle name="Followed Hyperlink" xfId="4105" builtinId="9" hidden="1"/>
    <cellStyle name="Followed Hyperlink" xfId="4106" builtinId="9" hidden="1"/>
    <cellStyle name="Followed Hyperlink" xfId="4107" builtinId="9" hidden="1"/>
    <cellStyle name="Followed Hyperlink" xfId="4108"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4" builtinId="9" hidden="1"/>
    <cellStyle name="Followed Hyperlink" xfId="4115" builtinId="9" hidden="1"/>
    <cellStyle name="Followed Hyperlink" xfId="4116" builtinId="9" hidden="1"/>
    <cellStyle name="Followed Hyperlink" xfId="4117" builtinId="9" hidden="1"/>
    <cellStyle name="Followed Hyperlink" xfId="4118" builtinId="9" hidden="1"/>
    <cellStyle name="Followed Hyperlink" xfId="4119" builtinId="9" hidden="1"/>
    <cellStyle name="Followed Hyperlink" xfId="4120" builtinId="9" hidden="1"/>
    <cellStyle name="Followed Hyperlink" xfId="4121" builtinId="9" hidden="1"/>
    <cellStyle name="Followed Hyperlink" xfId="4122" builtinId="9" hidden="1"/>
    <cellStyle name="Followed Hyperlink" xfId="4123" builtinId="9" hidden="1"/>
    <cellStyle name="Followed Hyperlink" xfId="4124" builtinId="9" hidden="1"/>
    <cellStyle name="Followed Hyperlink" xfId="4125" builtinId="9" hidden="1"/>
    <cellStyle name="Followed Hyperlink" xfId="4126" builtinId="9" hidden="1"/>
    <cellStyle name="Followed Hyperlink" xfId="4127" builtinId="9" hidden="1"/>
    <cellStyle name="Followed Hyperlink" xfId="4128" builtinId="9" hidden="1"/>
    <cellStyle name="Followed Hyperlink" xfId="4129" builtinId="9" hidden="1"/>
    <cellStyle name="Followed Hyperlink" xfId="4130" builtinId="9" hidden="1"/>
    <cellStyle name="Followed Hyperlink" xfId="4131" builtinId="9" hidden="1"/>
    <cellStyle name="Followed Hyperlink" xfId="4132" builtinId="9" hidden="1"/>
    <cellStyle name="Followed Hyperlink" xfId="4133" builtinId="9" hidden="1"/>
    <cellStyle name="Followed Hyperlink" xfId="4134" builtinId="9" hidden="1"/>
    <cellStyle name="Followed Hyperlink" xfId="4135" builtinId="9" hidden="1"/>
    <cellStyle name="Followed Hyperlink" xfId="4136" builtinId="9" hidden="1"/>
    <cellStyle name="Followed Hyperlink" xfId="4137" builtinId="9" hidden="1"/>
    <cellStyle name="Followed Hyperlink" xfId="4138" builtinId="9" hidden="1"/>
    <cellStyle name="Followed Hyperlink" xfId="4139" builtinId="9" hidden="1"/>
    <cellStyle name="Followed Hyperlink" xfId="4140" builtinId="9" hidden="1"/>
    <cellStyle name="Followed Hyperlink" xfId="4141"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47" builtinId="9" hidden="1"/>
    <cellStyle name="Followed Hyperlink" xfId="4148" builtinId="9" hidden="1"/>
    <cellStyle name="Followed Hyperlink" xfId="4149" builtinId="9" hidden="1"/>
    <cellStyle name="Followed Hyperlink" xfId="4150" builtinId="9" hidden="1"/>
    <cellStyle name="Followed Hyperlink" xfId="4151" builtinId="9" hidden="1"/>
    <cellStyle name="Followed Hyperlink" xfId="4152" builtinId="9" hidden="1"/>
    <cellStyle name="Followed Hyperlink" xfId="4153" builtinId="9" hidden="1"/>
    <cellStyle name="Followed Hyperlink" xfId="4154" builtinId="9" hidden="1"/>
    <cellStyle name="Followed Hyperlink" xfId="4155" builtinId="9" hidden="1"/>
    <cellStyle name="Followed Hyperlink" xfId="4156" builtinId="9" hidden="1"/>
    <cellStyle name="Followed Hyperlink" xfId="4157" builtinId="9" hidden="1"/>
    <cellStyle name="Followed Hyperlink" xfId="4158" builtinId="9" hidden="1"/>
    <cellStyle name="Followed Hyperlink" xfId="4159" builtinId="9" hidden="1"/>
    <cellStyle name="Followed Hyperlink" xfId="4160" builtinId="9" hidden="1"/>
    <cellStyle name="Followed Hyperlink" xfId="4161" builtinId="9" hidden="1"/>
    <cellStyle name="Followed Hyperlink" xfId="4162" builtinId="9" hidden="1"/>
    <cellStyle name="Followed Hyperlink" xfId="4163" builtinId="9" hidden="1"/>
    <cellStyle name="Followed Hyperlink" xfId="4164" builtinId="9" hidden="1"/>
    <cellStyle name="Followed Hyperlink" xfId="4165" builtinId="9" hidden="1"/>
    <cellStyle name="Followed Hyperlink" xfId="4166" builtinId="9" hidden="1"/>
    <cellStyle name="Followed Hyperlink" xfId="4167" builtinId="9" hidden="1"/>
    <cellStyle name="Followed Hyperlink" xfId="4168" builtinId="9" hidden="1"/>
    <cellStyle name="Followed Hyperlink" xfId="4169" builtinId="9" hidden="1"/>
    <cellStyle name="Followed Hyperlink" xfId="4170" builtinId="9" hidden="1"/>
    <cellStyle name="Followed Hyperlink" xfId="4171" builtinId="9" hidden="1"/>
    <cellStyle name="Followed Hyperlink" xfId="4172" builtinId="9" hidden="1"/>
    <cellStyle name="Followed Hyperlink" xfId="4173" builtinId="9" hidden="1"/>
    <cellStyle name="Followed Hyperlink" xfId="4174" builtinId="9" hidden="1"/>
    <cellStyle name="Followed Hyperlink" xfId="4175" builtinId="9" hidden="1"/>
    <cellStyle name="Followed Hyperlink" xfId="4176" builtinId="9" hidden="1"/>
    <cellStyle name="Followed Hyperlink" xfId="4177" builtinId="9" hidden="1"/>
    <cellStyle name="Followed Hyperlink" xfId="4178" builtinId="9" hidden="1"/>
    <cellStyle name="Followed Hyperlink" xfId="4179" builtinId="9" hidden="1"/>
    <cellStyle name="Followed Hyperlink" xfId="4180" builtinId="9" hidden="1"/>
    <cellStyle name="Followed Hyperlink" xfId="4181" builtinId="9" hidden="1"/>
    <cellStyle name="Followed Hyperlink" xfId="4182" builtinId="9" hidden="1"/>
    <cellStyle name="Followed Hyperlink" xfId="4183" builtinId="9" hidden="1"/>
    <cellStyle name="Followed Hyperlink" xfId="4184" builtinId="9" hidden="1"/>
    <cellStyle name="Followed Hyperlink" xfId="4185" builtinId="9" hidden="1"/>
    <cellStyle name="Followed Hyperlink" xfId="4186" builtinId="9" hidden="1"/>
    <cellStyle name="Followed Hyperlink" xfId="4187" builtinId="9" hidden="1"/>
    <cellStyle name="Followed Hyperlink" xfId="4188" builtinId="9" hidden="1"/>
    <cellStyle name="Followed Hyperlink" xfId="4189" builtinId="9" hidden="1"/>
    <cellStyle name="Followed Hyperlink" xfId="4190" builtinId="9" hidden="1"/>
    <cellStyle name="Followed Hyperlink" xfId="4191" builtinId="9" hidden="1"/>
    <cellStyle name="Followed Hyperlink" xfId="4192" builtinId="9" hidden="1"/>
    <cellStyle name="Followed Hyperlink" xfId="4193" builtinId="9" hidden="1"/>
    <cellStyle name="Followed Hyperlink" xfId="4194" builtinId="9" hidden="1"/>
    <cellStyle name="Followed Hyperlink" xfId="4195" builtinId="9" hidden="1"/>
    <cellStyle name="Followed Hyperlink" xfId="4196" builtinId="9" hidden="1"/>
    <cellStyle name="Followed Hyperlink" xfId="4197" builtinId="9" hidden="1"/>
    <cellStyle name="Followed Hyperlink" xfId="4198" builtinId="9" hidden="1"/>
    <cellStyle name="Followed Hyperlink" xfId="4199" builtinId="9" hidden="1"/>
    <cellStyle name="Followed Hyperlink" xfId="4200" builtinId="9" hidden="1"/>
    <cellStyle name="Followed Hyperlink" xfId="4201" builtinId="9" hidden="1"/>
    <cellStyle name="Followed Hyperlink" xfId="4202" builtinId="9" hidden="1"/>
    <cellStyle name="Followed Hyperlink" xfId="4203" builtinId="9" hidden="1"/>
    <cellStyle name="Followed Hyperlink" xfId="4204" builtinId="9" hidden="1"/>
    <cellStyle name="Followed Hyperlink" xfId="4205" builtinId="9" hidden="1"/>
    <cellStyle name="Followed Hyperlink" xfId="4206" builtinId="9" hidden="1"/>
    <cellStyle name="Followed Hyperlink" xfId="4207" builtinId="9" hidden="1"/>
    <cellStyle name="Followed Hyperlink" xfId="4208" builtinId="9" hidden="1"/>
    <cellStyle name="Followed Hyperlink" xfId="4209" builtinId="9" hidden="1"/>
    <cellStyle name="Followed Hyperlink" xfId="4210" builtinId="9" hidden="1"/>
    <cellStyle name="Followed Hyperlink" xfId="4211" builtinId="9" hidden="1"/>
    <cellStyle name="Followed Hyperlink" xfId="4212" builtinId="9" hidden="1"/>
    <cellStyle name="Followed Hyperlink" xfId="4213" builtinId="9" hidden="1"/>
    <cellStyle name="Followed Hyperlink" xfId="4214" builtinId="9" hidden="1"/>
    <cellStyle name="Followed Hyperlink" xfId="4215" builtinId="9" hidden="1"/>
    <cellStyle name="Followed Hyperlink" xfId="4216" builtinId="9" hidden="1"/>
    <cellStyle name="Followed Hyperlink" xfId="4217" builtinId="9" hidden="1"/>
    <cellStyle name="Followed Hyperlink" xfId="4218" builtinId="9" hidden="1"/>
    <cellStyle name="Followed Hyperlink" xfId="4219" builtinId="9" hidden="1"/>
    <cellStyle name="Followed Hyperlink" xfId="4220" builtinId="9" hidden="1"/>
    <cellStyle name="Followed Hyperlink" xfId="4221" builtinId="9" hidden="1"/>
    <cellStyle name="Followed Hyperlink" xfId="4222" builtinId="9" hidden="1"/>
    <cellStyle name="Followed Hyperlink" xfId="4223" builtinId="9" hidden="1"/>
    <cellStyle name="Followed Hyperlink" xfId="4224" builtinId="9" hidden="1"/>
    <cellStyle name="Followed Hyperlink" xfId="4225" builtinId="9" hidden="1"/>
    <cellStyle name="Followed Hyperlink" xfId="4226" builtinId="9" hidden="1"/>
    <cellStyle name="Followed Hyperlink" xfId="4227" builtinId="9" hidden="1"/>
    <cellStyle name="Followed Hyperlink" xfId="4228" builtinId="9" hidden="1"/>
    <cellStyle name="Followed Hyperlink" xfId="4229" builtinId="9" hidden="1"/>
    <cellStyle name="Followed Hyperlink" xfId="4230" builtinId="9" hidden="1"/>
    <cellStyle name="Followed Hyperlink" xfId="4231" builtinId="9" hidden="1"/>
    <cellStyle name="Followed Hyperlink" xfId="4232" builtinId="9" hidden="1"/>
    <cellStyle name="Followed Hyperlink" xfId="4233" builtinId="9" hidden="1"/>
    <cellStyle name="Followed Hyperlink" xfId="4234" builtinId="9" hidden="1"/>
    <cellStyle name="Followed Hyperlink" xfId="4235" builtinId="9" hidden="1"/>
    <cellStyle name="Followed Hyperlink" xfId="4236" builtinId="9" hidden="1"/>
    <cellStyle name="Followed Hyperlink" xfId="4237" builtinId="9" hidden="1"/>
    <cellStyle name="Followed Hyperlink" xfId="4238" builtinId="9" hidden="1"/>
    <cellStyle name="Followed Hyperlink" xfId="4239" builtinId="9" hidden="1"/>
    <cellStyle name="Followed Hyperlink" xfId="4240" builtinId="9" hidden="1"/>
    <cellStyle name="Followed Hyperlink" xfId="4241" builtinId="9" hidden="1"/>
    <cellStyle name="Followed Hyperlink" xfId="4242" builtinId="9" hidden="1"/>
    <cellStyle name="Followed Hyperlink" xfId="4243" builtinId="9" hidden="1"/>
    <cellStyle name="Followed Hyperlink" xfId="4244" builtinId="9" hidden="1"/>
    <cellStyle name="Followed Hyperlink" xfId="4245" builtinId="9" hidden="1"/>
    <cellStyle name="Followed Hyperlink" xfId="4246" builtinId="9" hidden="1"/>
    <cellStyle name="Followed Hyperlink" xfId="4247"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3" builtinId="9" hidden="1"/>
    <cellStyle name="Followed Hyperlink" xfId="4254" builtinId="9" hidden="1"/>
    <cellStyle name="Followed Hyperlink" xfId="4255" builtinId="9" hidden="1"/>
    <cellStyle name="Followed Hyperlink" xfId="4256" builtinId="9" hidden="1"/>
    <cellStyle name="Followed Hyperlink" xfId="4257" builtinId="9" hidden="1"/>
    <cellStyle name="Followed Hyperlink" xfId="4258" builtinId="9" hidden="1"/>
    <cellStyle name="Followed Hyperlink" xfId="4259" builtinId="9" hidden="1"/>
    <cellStyle name="Followed Hyperlink" xfId="4260" builtinId="9" hidden="1"/>
    <cellStyle name="Followed Hyperlink" xfId="4261" builtinId="9" hidden="1"/>
    <cellStyle name="Followed Hyperlink" xfId="4262" builtinId="9" hidden="1"/>
    <cellStyle name="Followed Hyperlink" xfId="4263" builtinId="9" hidden="1"/>
    <cellStyle name="Followed Hyperlink" xfId="4264" builtinId="9" hidden="1"/>
    <cellStyle name="Followed Hyperlink" xfId="4265" builtinId="9" hidden="1"/>
    <cellStyle name="Followed Hyperlink" xfId="4266" builtinId="9" hidden="1"/>
    <cellStyle name="Followed Hyperlink" xfId="4267" builtinId="9" hidden="1"/>
    <cellStyle name="Followed Hyperlink" xfId="4268" builtinId="9" hidden="1"/>
    <cellStyle name="Followed Hyperlink" xfId="4269" builtinId="9" hidden="1"/>
    <cellStyle name="Followed Hyperlink" xfId="4270" builtinId="9" hidden="1"/>
    <cellStyle name="Followed Hyperlink" xfId="4271" builtinId="9" hidden="1"/>
    <cellStyle name="Followed Hyperlink" xfId="4272" builtinId="9" hidden="1"/>
    <cellStyle name="Followed Hyperlink" xfId="4273" builtinId="9" hidden="1"/>
    <cellStyle name="Followed Hyperlink" xfId="4274" builtinId="9" hidden="1"/>
    <cellStyle name="Followed Hyperlink" xfId="4275" builtinId="9" hidden="1"/>
    <cellStyle name="Followed Hyperlink" xfId="4276" builtinId="9" hidden="1"/>
    <cellStyle name="Followed Hyperlink" xfId="4277" builtinId="9" hidden="1"/>
    <cellStyle name="Followed Hyperlink" xfId="4278" builtinId="9" hidden="1"/>
    <cellStyle name="Followed Hyperlink" xfId="4279" builtinId="9" hidden="1"/>
    <cellStyle name="Followed Hyperlink" xfId="4280" builtinId="9" hidden="1"/>
    <cellStyle name="Followed Hyperlink" xfId="4281"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287" builtinId="9" hidden="1"/>
    <cellStyle name="Followed Hyperlink" xfId="4288" builtinId="9" hidden="1"/>
    <cellStyle name="Followed Hyperlink" xfId="4289" builtinId="9" hidden="1"/>
    <cellStyle name="Followed Hyperlink" xfId="4290" builtinId="9" hidden="1"/>
    <cellStyle name="Followed Hyperlink" xfId="4291" builtinId="9" hidden="1"/>
    <cellStyle name="Followed Hyperlink" xfId="4292" builtinId="9" hidden="1"/>
    <cellStyle name="Followed Hyperlink" xfId="4293" builtinId="9" hidden="1"/>
    <cellStyle name="Followed Hyperlink" xfId="4294" builtinId="9" hidden="1"/>
    <cellStyle name="Followed Hyperlink" xfId="4295" builtinId="9" hidden="1"/>
    <cellStyle name="Followed Hyperlink" xfId="4296" builtinId="9" hidden="1"/>
    <cellStyle name="Followed Hyperlink" xfId="4297" builtinId="9" hidden="1"/>
    <cellStyle name="Followed Hyperlink" xfId="4298" builtinId="9" hidden="1"/>
    <cellStyle name="Followed Hyperlink" xfId="4299" builtinId="9" hidden="1"/>
    <cellStyle name="Followed Hyperlink" xfId="4300" builtinId="9" hidden="1"/>
    <cellStyle name="Followed Hyperlink" xfId="4301" builtinId="9" hidden="1"/>
    <cellStyle name="Followed Hyperlink" xfId="4302" builtinId="9" hidden="1"/>
    <cellStyle name="Followed Hyperlink" xfId="4303" builtinId="9" hidden="1"/>
    <cellStyle name="Followed Hyperlink" xfId="4304" builtinId="9" hidden="1"/>
    <cellStyle name="Followed Hyperlink" xfId="4305" builtinId="9" hidden="1"/>
    <cellStyle name="Followed Hyperlink" xfId="4306" builtinId="9" hidden="1"/>
    <cellStyle name="Followed Hyperlink" xfId="4307" builtinId="9" hidden="1"/>
    <cellStyle name="Followed Hyperlink" xfId="4308" builtinId="9" hidden="1"/>
    <cellStyle name="Followed Hyperlink" xfId="4309" builtinId="9" hidden="1"/>
    <cellStyle name="Followed Hyperlink" xfId="4310" builtinId="9" hidden="1"/>
    <cellStyle name="Followed Hyperlink" xfId="4311" builtinId="9" hidden="1"/>
    <cellStyle name="Followed Hyperlink" xfId="4312" builtinId="9" hidden="1"/>
    <cellStyle name="Followed Hyperlink" xfId="4313" builtinId="9" hidden="1"/>
    <cellStyle name="Followed Hyperlink" xfId="4314" builtinId="9" hidden="1"/>
    <cellStyle name="Followed Hyperlink" xfId="4315" builtinId="9" hidden="1"/>
    <cellStyle name="Followed Hyperlink" xfId="4316" builtinId="9" hidden="1"/>
    <cellStyle name="Followed Hyperlink" xfId="4317" builtinId="9" hidden="1"/>
    <cellStyle name="Followed Hyperlink" xfId="4318" builtinId="9" hidden="1"/>
    <cellStyle name="Followed Hyperlink" xfId="4319" builtinId="9" hidden="1"/>
    <cellStyle name="Followed Hyperlink" xfId="4320" builtinId="9" hidden="1"/>
    <cellStyle name="Followed Hyperlink" xfId="4321" builtinId="9" hidden="1"/>
    <cellStyle name="Followed Hyperlink" xfId="4322" builtinId="9" hidden="1"/>
    <cellStyle name="Followed Hyperlink" xfId="4323" builtinId="9" hidden="1"/>
    <cellStyle name="Followed Hyperlink" xfId="4324" builtinId="9" hidden="1"/>
    <cellStyle name="Followed Hyperlink" xfId="4325" builtinId="9" hidden="1"/>
    <cellStyle name="Followed Hyperlink" xfId="4326" builtinId="9" hidden="1"/>
    <cellStyle name="Followed Hyperlink" xfId="4327" builtinId="9" hidden="1"/>
    <cellStyle name="Followed Hyperlink" xfId="4328" builtinId="9" hidden="1"/>
    <cellStyle name="Followed Hyperlink" xfId="4329" builtinId="9" hidden="1"/>
    <cellStyle name="Followed Hyperlink" xfId="4330" builtinId="9" hidden="1"/>
    <cellStyle name="Followed Hyperlink" xfId="4331" builtinId="9" hidden="1"/>
    <cellStyle name="Followed Hyperlink" xfId="4332" builtinId="9" hidden="1"/>
    <cellStyle name="Followed Hyperlink" xfId="4333" builtinId="9" hidden="1"/>
    <cellStyle name="Followed Hyperlink" xfId="4334" builtinId="9" hidden="1"/>
    <cellStyle name="Followed Hyperlink" xfId="4335" builtinId="9" hidden="1"/>
    <cellStyle name="Followed Hyperlink" xfId="4336" builtinId="9" hidden="1"/>
    <cellStyle name="Followed Hyperlink" xfId="4337" builtinId="9" hidden="1"/>
    <cellStyle name="Followed Hyperlink" xfId="4338" builtinId="9" hidden="1"/>
    <cellStyle name="Followed Hyperlink" xfId="4339" builtinId="9" hidden="1"/>
    <cellStyle name="Followed Hyperlink" xfId="4340" builtinId="9" hidden="1"/>
    <cellStyle name="Followed Hyperlink" xfId="4341" builtinId="9" hidden="1"/>
    <cellStyle name="Followed Hyperlink" xfId="4342" builtinId="9" hidden="1"/>
    <cellStyle name="Followed Hyperlink" xfId="4343" builtinId="9" hidden="1"/>
    <cellStyle name="Followed Hyperlink" xfId="4344" builtinId="9" hidden="1"/>
    <cellStyle name="Followed Hyperlink" xfId="4345" builtinId="9" hidden="1"/>
    <cellStyle name="Followed Hyperlink" xfId="4346" builtinId="9" hidden="1"/>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llowed Hyperlink" xfId="4374" builtinId="9" hidden="1"/>
    <cellStyle name="Followed Hyperlink" xfId="4375" builtinId="9" hidden="1"/>
    <cellStyle name="Followed Hyperlink" xfId="4376" builtinId="9" hidden="1"/>
    <cellStyle name="Followed Hyperlink" xfId="4377" builtinId="9" hidden="1"/>
    <cellStyle name="Followed Hyperlink" xfId="4378" builtinId="9" hidden="1"/>
    <cellStyle name="Followed Hyperlink" xfId="4379" builtinId="9" hidden="1"/>
    <cellStyle name="Followed Hyperlink" xfId="4380" builtinId="9" hidden="1"/>
    <cellStyle name="Followed Hyperlink" xfId="4381" builtinId="9" hidden="1"/>
    <cellStyle name="Followed Hyperlink" xfId="4382" builtinId="9" hidden="1"/>
    <cellStyle name="Followed Hyperlink" xfId="4383" builtinId="9" hidden="1"/>
    <cellStyle name="Followed Hyperlink" xfId="4384" builtinId="9" hidden="1"/>
    <cellStyle name="Followed Hyperlink" xfId="4385" builtinId="9" hidden="1"/>
    <cellStyle name="Followed Hyperlink" xfId="4386" builtinId="9" hidden="1"/>
    <cellStyle name="Followed Hyperlink" xfId="4387" builtinId="9" hidden="1"/>
    <cellStyle name="Followed Hyperlink" xfId="4388" builtinId="9" hidden="1"/>
    <cellStyle name="Followed Hyperlink" xfId="4389" builtinId="9" hidden="1"/>
    <cellStyle name="Followed Hyperlink" xfId="4390" builtinId="9" hidden="1"/>
    <cellStyle name="Followed Hyperlink" xfId="4391" builtinId="9" hidden="1"/>
    <cellStyle name="Followed Hyperlink" xfId="4392" builtinId="9" hidden="1"/>
    <cellStyle name="Followed Hyperlink" xfId="4393" builtinId="9" hidden="1"/>
    <cellStyle name="Followed Hyperlink" xfId="4394" builtinId="9" hidden="1"/>
    <cellStyle name="Followed Hyperlink" xfId="4395" builtinId="9" hidden="1"/>
    <cellStyle name="Followed Hyperlink" xfId="4396" builtinId="9" hidden="1"/>
    <cellStyle name="Followed Hyperlink" xfId="4397" builtinId="9" hidden="1"/>
    <cellStyle name="Followed Hyperlink" xfId="4398" builtinId="9" hidden="1"/>
    <cellStyle name="Followed Hyperlink" xfId="4399" builtinId="9" hidden="1"/>
    <cellStyle name="Followed Hyperlink" xfId="4400" builtinId="9" hidden="1"/>
    <cellStyle name="Followed Hyperlink" xfId="4401" builtinId="9" hidden="1"/>
    <cellStyle name="Followed Hyperlink" xfId="4402" builtinId="9" hidden="1"/>
    <cellStyle name="Followed Hyperlink" xfId="4403" builtinId="9" hidden="1"/>
    <cellStyle name="Followed Hyperlink" xfId="4404" builtinId="9" hidden="1"/>
    <cellStyle name="Followed Hyperlink" xfId="4405" builtinId="9" hidden="1"/>
    <cellStyle name="Followed Hyperlink" xfId="4406" builtinId="9" hidden="1"/>
    <cellStyle name="Followed Hyperlink" xfId="4407" builtinId="9" hidden="1"/>
    <cellStyle name="Followed Hyperlink" xfId="4408" builtinId="9" hidden="1"/>
    <cellStyle name="Followed Hyperlink" xfId="4409" builtinId="9" hidden="1"/>
    <cellStyle name="Followed Hyperlink" xfId="4410" builtinId="9" hidden="1"/>
    <cellStyle name="Followed Hyperlink" xfId="4411" builtinId="9" hidden="1"/>
    <cellStyle name="Followed Hyperlink" xfId="4412" builtinId="9" hidden="1"/>
    <cellStyle name="Followed Hyperlink" xfId="4413" builtinId="9" hidden="1"/>
    <cellStyle name="Followed Hyperlink" xfId="4414" builtinId="9" hidden="1"/>
    <cellStyle name="Followed Hyperlink" xfId="4415" builtinId="9" hidden="1"/>
    <cellStyle name="Followed Hyperlink" xfId="4416" builtinId="9" hidden="1"/>
    <cellStyle name="Followed Hyperlink" xfId="4417" builtinId="9" hidden="1"/>
    <cellStyle name="Followed Hyperlink" xfId="4418" builtinId="9" hidden="1"/>
    <cellStyle name="Followed Hyperlink" xfId="4420" builtinId="9" hidden="1"/>
    <cellStyle name="Followed Hyperlink" xfId="4421" builtinId="9" hidden="1"/>
    <cellStyle name="Followed Hyperlink" xfId="4422" builtinId="9" hidden="1"/>
    <cellStyle name="Followed Hyperlink" xfId="4423" builtinId="9" hidden="1"/>
    <cellStyle name="Followed Hyperlink" xfId="4424" builtinId="9" hidden="1"/>
    <cellStyle name="Followed Hyperlink" xfId="4425"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31" builtinId="9" hidden="1"/>
    <cellStyle name="Followed Hyperlink" xfId="4432" builtinId="9" hidden="1"/>
    <cellStyle name="Followed Hyperlink" xfId="4433" builtinId="9" hidden="1"/>
    <cellStyle name="Followed Hyperlink" xfId="4434" builtinId="9" hidden="1"/>
    <cellStyle name="Followed Hyperlink" xfId="4435" builtinId="9" hidden="1"/>
    <cellStyle name="Followed Hyperlink" xfId="4436" builtinId="9" hidden="1"/>
    <cellStyle name="Followed Hyperlink" xfId="4437" builtinId="9" hidden="1"/>
    <cellStyle name="Followed Hyperlink" xfId="4438" builtinId="9" hidden="1"/>
    <cellStyle name="Followed Hyperlink" xfId="4439" builtinId="9" hidden="1"/>
    <cellStyle name="Followed Hyperlink" xfId="4440" builtinId="9" hidden="1"/>
    <cellStyle name="Followed Hyperlink" xfId="4441" builtinId="9" hidden="1"/>
    <cellStyle name="Followed Hyperlink" xfId="4442" builtinId="9" hidden="1"/>
    <cellStyle name="Followed Hyperlink" xfId="4443" builtinId="9" hidden="1"/>
    <cellStyle name="Followed Hyperlink" xfId="4444" builtinId="9" hidden="1"/>
    <cellStyle name="Followed Hyperlink" xfId="4445" builtinId="9" hidden="1"/>
    <cellStyle name="Followed Hyperlink" xfId="4446" builtinId="9" hidden="1"/>
    <cellStyle name="Followed Hyperlink" xfId="4447" builtinId="9" hidden="1"/>
    <cellStyle name="Followed Hyperlink" xfId="4448" builtinId="9" hidden="1"/>
    <cellStyle name="Followed Hyperlink" xfId="4449" builtinId="9" hidden="1"/>
    <cellStyle name="Followed Hyperlink" xfId="4450" builtinId="9" hidden="1"/>
    <cellStyle name="Followed Hyperlink" xfId="4451" builtinId="9" hidden="1"/>
    <cellStyle name="Followed Hyperlink" xfId="4452" builtinId="9" hidden="1"/>
    <cellStyle name="Followed Hyperlink" xfId="4453" builtinId="9" hidden="1"/>
    <cellStyle name="Followed Hyperlink" xfId="4454" builtinId="9" hidden="1"/>
    <cellStyle name="Followed Hyperlink" xfId="4455" builtinId="9" hidden="1"/>
    <cellStyle name="Followed Hyperlink" xfId="4456" builtinId="9" hidden="1"/>
    <cellStyle name="Followed Hyperlink" xfId="4457" builtinId="9" hidden="1"/>
    <cellStyle name="Followed Hyperlink" xfId="4458" builtinId="9" hidden="1"/>
    <cellStyle name="Followed Hyperlink" xfId="4459" builtinId="9" hidden="1"/>
    <cellStyle name="Followed Hyperlink" xfId="4460" builtinId="9" hidden="1"/>
    <cellStyle name="Followed Hyperlink" xfId="4461" builtinId="9" hidden="1"/>
    <cellStyle name="Followed Hyperlink" xfId="4462" builtinId="9" hidden="1"/>
    <cellStyle name="Followed Hyperlink" xfId="4463" builtinId="9" hidden="1"/>
    <cellStyle name="Followed Hyperlink" xfId="4464" builtinId="9" hidden="1"/>
    <cellStyle name="Followed Hyperlink" xfId="4465" builtinId="9" hidden="1"/>
    <cellStyle name="Followed Hyperlink" xfId="4466" builtinId="9" hidden="1"/>
    <cellStyle name="Followed Hyperlink" xfId="4467" builtinId="9" hidden="1"/>
    <cellStyle name="Followed Hyperlink" xfId="4468" builtinId="9" hidden="1"/>
    <cellStyle name="Followed Hyperlink" xfId="4469" builtinId="9" hidden="1"/>
    <cellStyle name="Followed Hyperlink" xfId="4470" builtinId="9" hidden="1"/>
    <cellStyle name="Followed Hyperlink" xfId="4471" builtinId="9" hidden="1"/>
    <cellStyle name="Followed Hyperlink" xfId="4472" builtinId="9" hidden="1"/>
    <cellStyle name="Followed Hyperlink" xfId="4473" builtinId="9" hidden="1"/>
    <cellStyle name="Followed Hyperlink" xfId="4474" builtinId="9" hidden="1"/>
    <cellStyle name="Followed Hyperlink" xfId="4475" builtinId="9" hidden="1"/>
    <cellStyle name="Followed Hyperlink" xfId="4476" builtinId="9" hidden="1"/>
    <cellStyle name="Followed Hyperlink" xfId="4477" builtinId="9" hidden="1"/>
    <cellStyle name="Followed Hyperlink" xfId="4478"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3"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0" builtinId="9" hidden="1"/>
    <cellStyle name="Followed Hyperlink" xfId="4491" builtinId="9" hidden="1"/>
    <cellStyle name="Followed Hyperlink" xfId="4492" builtinId="9" hidden="1"/>
    <cellStyle name="Followed Hyperlink" xfId="4493" builtinId="9" hidden="1"/>
    <cellStyle name="Followed Hyperlink" xfId="4494" builtinId="9" hidden="1"/>
    <cellStyle name="Followed Hyperlink" xfId="4495" builtinId="9" hidden="1"/>
    <cellStyle name="Followed Hyperlink" xfId="4496" builtinId="9" hidden="1"/>
    <cellStyle name="Followed Hyperlink" xfId="4497" builtinId="9" hidden="1"/>
    <cellStyle name="Followed Hyperlink" xfId="4498" builtinId="9" hidden="1"/>
    <cellStyle name="Followed Hyperlink" xfId="4499" builtinId="9" hidden="1"/>
    <cellStyle name="Followed Hyperlink" xfId="4500" builtinId="9" hidden="1"/>
    <cellStyle name="Followed Hyperlink" xfId="4501"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4514" builtinId="9" hidden="1"/>
    <cellStyle name="Followed Hyperlink" xfId="4515" builtinId="9" hidden="1"/>
    <cellStyle name="Followed Hyperlink" xfId="4516" builtinId="9" hidden="1"/>
    <cellStyle name="Followed Hyperlink" xfId="4517" builtinId="9" hidden="1"/>
    <cellStyle name="Followed Hyperlink" xfId="4518" builtinId="9" hidden="1"/>
    <cellStyle name="Followed Hyperlink" xfId="4520"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532" builtinId="9" hidden="1"/>
    <cellStyle name="Followed Hyperlink" xfId="4533" builtinId="9" hidden="1"/>
    <cellStyle name="Followed Hyperlink" xfId="4534" builtinId="9" hidden="1"/>
    <cellStyle name="Followed Hyperlink" xfId="4535" builtinId="9" hidden="1"/>
    <cellStyle name="Followed Hyperlink" xfId="4536" builtinId="9" hidden="1"/>
    <cellStyle name="Followed Hyperlink" xfId="4537" builtinId="9" hidden="1"/>
    <cellStyle name="Followed Hyperlink" xfId="4538" builtinId="9" hidden="1"/>
    <cellStyle name="Followed Hyperlink" xfId="4539" builtinId="9" hidden="1"/>
    <cellStyle name="Followed Hyperlink" xfId="4540" builtinId="9" hidden="1"/>
    <cellStyle name="Followed Hyperlink" xfId="4541" builtinId="9" hidden="1"/>
    <cellStyle name="Followed Hyperlink" xfId="4542" builtinId="9" hidden="1"/>
    <cellStyle name="Followed Hyperlink" xfId="4543" builtinId="9" hidden="1"/>
    <cellStyle name="Followed Hyperlink" xfId="4544" builtinId="9" hidden="1"/>
    <cellStyle name="Followed Hyperlink" xfId="4545" builtinId="9" hidden="1"/>
    <cellStyle name="Followed Hyperlink" xfId="4546" builtinId="9" hidden="1"/>
    <cellStyle name="Followed Hyperlink" xfId="4547" builtinId="9" hidden="1"/>
    <cellStyle name="Followed Hyperlink" xfId="4548" builtinId="9" hidden="1"/>
    <cellStyle name="Followed Hyperlink" xfId="4549" builtinId="9" hidden="1"/>
    <cellStyle name="Followed Hyperlink" xfId="4550" builtinId="9" hidden="1"/>
    <cellStyle name="Followed Hyperlink" xfId="4551" builtinId="9" hidden="1"/>
    <cellStyle name="Followed Hyperlink" xfId="4552" builtinId="9" hidden="1"/>
    <cellStyle name="Followed Hyperlink" xfId="4553" builtinId="9" hidden="1"/>
    <cellStyle name="Followed Hyperlink" xfId="4554" builtinId="9" hidden="1"/>
    <cellStyle name="Followed Hyperlink" xfId="4555" builtinId="9" hidden="1"/>
    <cellStyle name="Followed Hyperlink" xfId="4556" builtinId="9" hidden="1"/>
    <cellStyle name="Followed Hyperlink" xfId="4557" builtinId="9" hidden="1"/>
    <cellStyle name="Followed Hyperlink" xfId="4558" builtinId="9" hidden="1"/>
    <cellStyle name="Followed Hyperlink" xfId="4559" builtinId="9" hidden="1"/>
    <cellStyle name="Followed Hyperlink" xfId="4560" builtinId="9" hidden="1"/>
    <cellStyle name="Followed Hyperlink" xfId="4561" builtinId="9" hidden="1"/>
    <cellStyle name="Followed Hyperlink" xfId="4562" builtinId="9" hidden="1"/>
    <cellStyle name="Followed Hyperlink" xfId="4563" builtinId="9" hidden="1"/>
    <cellStyle name="Followed Hyperlink" xfId="4564" builtinId="9" hidden="1"/>
    <cellStyle name="Followed Hyperlink" xfId="4565" builtinId="9" hidden="1"/>
    <cellStyle name="Followed Hyperlink" xfId="4566" builtinId="9" hidden="1"/>
    <cellStyle name="Followed Hyperlink" xfId="4567" builtinId="9" hidden="1"/>
    <cellStyle name="Followed Hyperlink" xfId="4568" builtinId="9" hidden="1"/>
    <cellStyle name="Followed Hyperlink" xfId="4569" builtinId="9" hidden="1"/>
    <cellStyle name="Followed Hyperlink" xfId="4570" builtinId="9" hidden="1"/>
    <cellStyle name="Followed Hyperlink" xfId="4571" builtinId="9" hidden="1"/>
    <cellStyle name="Followed Hyperlink" xfId="4572" builtinId="9" hidden="1"/>
    <cellStyle name="Followed Hyperlink" xfId="4573" builtinId="9" hidden="1"/>
    <cellStyle name="Followed Hyperlink" xfId="4574" builtinId="9" hidden="1"/>
    <cellStyle name="Followed Hyperlink" xfId="4575" builtinId="9" hidden="1"/>
    <cellStyle name="Followed Hyperlink" xfId="4576" builtinId="9" hidden="1"/>
    <cellStyle name="Followed Hyperlink" xfId="4577" builtinId="9" hidden="1"/>
    <cellStyle name="Followed Hyperlink" xfId="4578" builtinId="9" hidden="1"/>
    <cellStyle name="Followed Hyperlink" xfId="4579" builtinId="9" hidden="1"/>
    <cellStyle name="Followed Hyperlink" xfId="4580" builtinId="9" hidden="1"/>
    <cellStyle name="Followed Hyperlink" xfId="4581" builtinId="9" hidden="1"/>
    <cellStyle name="Followed Hyperlink" xfId="4582" builtinId="9" hidden="1"/>
    <cellStyle name="Followed Hyperlink" xfId="4583" builtinId="9" hidden="1"/>
    <cellStyle name="Followed Hyperlink" xfId="4584" builtinId="9" hidden="1"/>
    <cellStyle name="Followed Hyperlink" xfId="4585" builtinId="9" hidden="1"/>
    <cellStyle name="Followed Hyperlink" xfId="4586" builtinId="9" hidden="1"/>
    <cellStyle name="Followed Hyperlink" xfId="4587" builtinId="9" hidden="1"/>
    <cellStyle name="Followed Hyperlink" xfId="4588" builtinId="9" hidden="1"/>
    <cellStyle name="Followed Hyperlink" xfId="4589" builtinId="9" hidden="1"/>
    <cellStyle name="Followed Hyperlink" xfId="4590" builtinId="9" hidden="1"/>
    <cellStyle name="Followed Hyperlink" xfId="4591" builtinId="9" hidden="1"/>
    <cellStyle name="Followed Hyperlink" xfId="4592" builtinId="9" hidden="1"/>
    <cellStyle name="Followed Hyperlink" xfId="4593" builtinId="9" hidden="1"/>
    <cellStyle name="Followed Hyperlink" xfId="4594" builtinId="9" hidden="1"/>
    <cellStyle name="Followed Hyperlink" xfId="4595" builtinId="9" hidden="1"/>
    <cellStyle name="Followed Hyperlink" xfId="4596" builtinId="9" hidden="1"/>
    <cellStyle name="Followed Hyperlink" xfId="4597" builtinId="9" hidden="1"/>
    <cellStyle name="Followed Hyperlink" xfId="4598" builtinId="9" hidden="1"/>
    <cellStyle name="Followed Hyperlink" xfId="4599" builtinId="9" hidden="1"/>
    <cellStyle name="Followed Hyperlink" xfId="4600" builtinId="9" hidden="1"/>
    <cellStyle name="Followed Hyperlink" xfId="4601" builtinId="9" hidden="1"/>
    <cellStyle name="Followed Hyperlink" xfId="4602" builtinId="9" hidden="1"/>
    <cellStyle name="Followed Hyperlink" xfId="4603" builtinId="9" hidden="1"/>
    <cellStyle name="Followed Hyperlink" xfId="4604" builtinId="9" hidden="1"/>
    <cellStyle name="Followed Hyperlink" xfId="4605" builtinId="9" hidden="1"/>
    <cellStyle name="Followed Hyperlink" xfId="4606" builtinId="9" hidden="1"/>
    <cellStyle name="Followed Hyperlink" xfId="4607" builtinId="9" hidden="1"/>
    <cellStyle name="Followed Hyperlink" xfId="4608" builtinId="9" hidden="1"/>
    <cellStyle name="Followed Hyperlink" xfId="4609" builtinId="9" hidden="1"/>
    <cellStyle name="Followed Hyperlink" xfId="4610" builtinId="9" hidden="1"/>
    <cellStyle name="Followed Hyperlink" xfId="4611" builtinId="9" hidden="1"/>
    <cellStyle name="Followed Hyperlink" xfId="4612" builtinId="9" hidden="1"/>
    <cellStyle name="Followed Hyperlink" xfId="4613" builtinId="9" hidden="1"/>
    <cellStyle name="Followed Hyperlink" xfId="4614" builtinId="9" hidden="1"/>
    <cellStyle name="Followed Hyperlink" xfId="4615" builtinId="9" hidden="1"/>
    <cellStyle name="Followed Hyperlink" xfId="4616" builtinId="9" hidden="1"/>
    <cellStyle name="Followed Hyperlink" xfId="4617" builtinId="9" hidden="1"/>
    <cellStyle name="Followed Hyperlink" xfId="4618" builtinId="9" hidden="1"/>
    <cellStyle name="Followed Hyperlink" xfId="4619" builtinId="9" hidden="1"/>
    <cellStyle name="Followed Hyperlink" xfId="4620" builtinId="9" hidden="1"/>
    <cellStyle name="Followed Hyperlink" xfId="4621" builtinId="9" hidden="1"/>
    <cellStyle name="Followed Hyperlink" xfId="4622" builtinId="9" hidden="1"/>
    <cellStyle name="Followed Hyperlink" xfId="4623" builtinId="9" hidden="1"/>
    <cellStyle name="Followed Hyperlink" xfId="4624" builtinId="9" hidden="1"/>
    <cellStyle name="Followed Hyperlink" xfId="4625" builtinId="9" hidden="1"/>
    <cellStyle name="Followed Hyperlink" xfId="4626" builtinId="9" hidden="1"/>
    <cellStyle name="Followed Hyperlink" xfId="4627" builtinId="9" hidden="1"/>
    <cellStyle name="Followed Hyperlink" xfId="4628" builtinId="9" hidden="1"/>
    <cellStyle name="Followed Hyperlink" xfId="4629" builtinId="9" hidden="1"/>
    <cellStyle name="Followed Hyperlink" xfId="4630" builtinId="9" hidden="1"/>
    <cellStyle name="Followed Hyperlink" xfId="4631" builtinId="9" hidden="1"/>
    <cellStyle name="Followed Hyperlink" xfId="4632" builtinId="9" hidden="1"/>
    <cellStyle name="Followed Hyperlink" xfId="4633" builtinId="9" hidden="1"/>
    <cellStyle name="Followed Hyperlink" xfId="4634" builtinId="9" hidden="1"/>
    <cellStyle name="Followed Hyperlink" xfId="4635" builtinId="9" hidden="1"/>
    <cellStyle name="Followed Hyperlink" xfId="4636" builtinId="9" hidden="1"/>
    <cellStyle name="Followed Hyperlink" xfId="4637" builtinId="9" hidden="1"/>
    <cellStyle name="Followed Hyperlink" xfId="4638" builtinId="9" hidden="1"/>
    <cellStyle name="Followed Hyperlink" xfId="4639" builtinId="9" hidden="1"/>
    <cellStyle name="Followed Hyperlink" xfId="4640" builtinId="9" hidden="1"/>
    <cellStyle name="Followed Hyperlink" xfId="4641" builtinId="9" hidden="1"/>
    <cellStyle name="Followed Hyperlink" xfId="4642" builtinId="9" hidden="1"/>
    <cellStyle name="Followed Hyperlink" xfId="4643" builtinId="9" hidden="1"/>
    <cellStyle name="Followed Hyperlink" xfId="4644" builtinId="9" hidden="1"/>
    <cellStyle name="Followed Hyperlink" xfId="4645" builtinId="9" hidden="1"/>
    <cellStyle name="Followed Hyperlink" xfId="4646" builtinId="9" hidden="1"/>
    <cellStyle name="Followed Hyperlink" xfId="4647" builtinId="9" hidden="1"/>
    <cellStyle name="Followed Hyperlink" xfId="4648" builtinId="9" hidden="1"/>
    <cellStyle name="Followed Hyperlink" xfId="4649" builtinId="9" hidden="1"/>
    <cellStyle name="Followed Hyperlink" xfId="4650" builtinId="9" hidden="1"/>
    <cellStyle name="Followed Hyperlink" xfId="4651" builtinId="9" hidden="1"/>
    <cellStyle name="Followed Hyperlink" xfId="4652" builtinId="9" hidden="1"/>
    <cellStyle name="Followed Hyperlink" xfId="4653" builtinId="9" hidden="1"/>
    <cellStyle name="Followed Hyperlink" xfId="4654" builtinId="9" hidden="1"/>
    <cellStyle name="Followed Hyperlink" xfId="4655" builtinId="9" hidden="1"/>
    <cellStyle name="Followed Hyperlink" xfId="4656" builtinId="9" hidden="1"/>
    <cellStyle name="Followed Hyperlink" xfId="4657" builtinId="9" hidden="1"/>
    <cellStyle name="Followed Hyperlink" xfId="4658" builtinId="9" hidden="1"/>
    <cellStyle name="Followed Hyperlink" xfId="4659" builtinId="9" hidden="1"/>
    <cellStyle name="Followed Hyperlink" xfId="4660" builtinId="9" hidden="1"/>
    <cellStyle name="Followed Hyperlink" xfId="4661" builtinId="9" hidden="1"/>
    <cellStyle name="Followed Hyperlink" xfId="4662" builtinId="9" hidden="1"/>
    <cellStyle name="Followed Hyperlink" xfId="4663" builtinId="9" hidden="1"/>
    <cellStyle name="Followed Hyperlink" xfId="4664" builtinId="9" hidden="1"/>
    <cellStyle name="Followed Hyperlink" xfId="4665" builtinId="9" hidden="1"/>
    <cellStyle name="Followed Hyperlink" xfId="4666" builtinId="9" hidden="1"/>
    <cellStyle name="Followed Hyperlink" xfId="4667" builtinId="9" hidden="1"/>
    <cellStyle name="Followed Hyperlink" xfId="4668" builtinId="9" hidden="1"/>
    <cellStyle name="Followed Hyperlink" xfId="4669" builtinId="9" hidden="1"/>
    <cellStyle name="Followed Hyperlink" xfId="4670" builtinId="9" hidden="1"/>
    <cellStyle name="Followed Hyperlink" xfId="4671" builtinId="9" hidden="1"/>
    <cellStyle name="Followed Hyperlink" xfId="4672" builtinId="9" hidden="1"/>
    <cellStyle name="Followed Hyperlink" xfId="4673" builtinId="9" hidden="1"/>
    <cellStyle name="Followed Hyperlink" xfId="4674" builtinId="9" hidden="1"/>
    <cellStyle name="Followed Hyperlink" xfId="4675" builtinId="9" hidden="1"/>
    <cellStyle name="Followed Hyperlink" xfId="4676" builtinId="9" hidden="1"/>
    <cellStyle name="Followed Hyperlink" xfId="4677" builtinId="9" hidden="1"/>
    <cellStyle name="Followed Hyperlink" xfId="4678" builtinId="9" hidden="1"/>
    <cellStyle name="Followed Hyperlink" xfId="4679" builtinId="9" hidden="1"/>
    <cellStyle name="Followed Hyperlink" xfId="4680" builtinId="9" hidden="1"/>
    <cellStyle name="Followed Hyperlink" xfId="4681" builtinId="9" hidden="1"/>
    <cellStyle name="Followed Hyperlink" xfId="4682" builtinId="9" hidden="1"/>
    <cellStyle name="Followed Hyperlink" xfId="4683" builtinId="9" hidden="1"/>
    <cellStyle name="Followed Hyperlink" xfId="4684" builtinId="9" hidden="1"/>
    <cellStyle name="Followed Hyperlink" xfId="4685" builtinId="9" hidden="1"/>
    <cellStyle name="Followed Hyperlink" xfId="4686" builtinId="9" hidden="1"/>
    <cellStyle name="Followed Hyperlink" xfId="4687" builtinId="9" hidden="1"/>
    <cellStyle name="Followed Hyperlink" xfId="4688" builtinId="9" hidden="1"/>
    <cellStyle name="Followed Hyperlink" xfId="4689" builtinId="9" hidden="1"/>
    <cellStyle name="Followed Hyperlink" xfId="4690" builtinId="9" hidden="1"/>
    <cellStyle name="Followed Hyperlink" xfId="4691" builtinId="9" hidden="1"/>
    <cellStyle name="Followed Hyperlink" xfId="4692" builtinId="9" hidden="1"/>
    <cellStyle name="Followed Hyperlink" xfId="4693" builtinId="9" hidden="1"/>
    <cellStyle name="Followed Hyperlink" xfId="4694" builtinId="9" hidden="1"/>
    <cellStyle name="Followed Hyperlink" xfId="4695" builtinId="9" hidden="1"/>
    <cellStyle name="Followed Hyperlink" xfId="4696" builtinId="9" hidden="1"/>
    <cellStyle name="Followed Hyperlink" xfId="4697" builtinId="9" hidden="1"/>
    <cellStyle name="Followed Hyperlink" xfId="4698" builtinId="9" hidden="1"/>
    <cellStyle name="Followed Hyperlink" xfId="4699" builtinId="9" hidden="1"/>
    <cellStyle name="Followed Hyperlink" xfId="4700" builtinId="9" hidden="1"/>
    <cellStyle name="Followed Hyperlink" xfId="4701" builtinId="9" hidden="1"/>
    <cellStyle name="Followed Hyperlink" xfId="4702" builtinId="9" hidden="1"/>
    <cellStyle name="Followed Hyperlink" xfId="4703" builtinId="9" hidden="1"/>
    <cellStyle name="Followed Hyperlink" xfId="4704" builtinId="9" hidden="1"/>
    <cellStyle name="Followed Hyperlink" xfId="4705" builtinId="9" hidden="1"/>
    <cellStyle name="Followed Hyperlink" xfId="4706" builtinId="9" hidden="1"/>
    <cellStyle name="Followed Hyperlink" xfId="4707" builtinId="9" hidden="1"/>
    <cellStyle name="Followed Hyperlink" xfId="4708" builtinId="9" hidden="1"/>
    <cellStyle name="Followed Hyperlink" xfId="4709" builtinId="9" hidden="1"/>
    <cellStyle name="Followed Hyperlink" xfId="4710" builtinId="9" hidden="1"/>
    <cellStyle name="Followed Hyperlink" xfId="4711" builtinId="9" hidden="1"/>
    <cellStyle name="Followed Hyperlink" xfId="4712" builtinId="9" hidden="1"/>
    <cellStyle name="Followed Hyperlink" xfId="4713" builtinId="9" hidden="1"/>
    <cellStyle name="Followed Hyperlink" xfId="4714" builtinId="9" hidden="1"/>
    <cellStyle name="Followed Hyperlink" xfId="4715" builtinId="9" hidden="1"/>
    <cellStyle name="Followed Hyperlink" xfId="4716" builtinId="9" hidden="1"/>
    <cellStyle name="Followed Hyperlink" xfId="4717" builtinId="9" hidden="1"/>
    <cellStyle name="Followed Hyperlink" xfId="4718" builtinId="9" hidden="1"/>
    <cellStyle name="Followed Hyperlink" xfId="4719" builtinId="9" hidden="1"/>
    <cellStyle name="Followed Hyperlink" xfId="4720" builtinId="9" hidden="1"/>
    <cellStyle name="Followed Hyperlink" xfId="4721" builtinId="9" hidden="1"/>
    <cellStyle name="Followed Hyperlink" xfId="4722" builtinId="9" hidden="1"/>
    <cellStyle name="Followed Hyperlink" xfId="4723" builtinId="9" hidden="1"/>
    <cellStyle name="Followed Hyperlink" xfId="4724" builtinId="9" hidden="1"/>
    <cellStyle name="Followed Hyperlink" xfId="4725" builtinId="9" hidden="1"/>
    <cellStyle name="Followed Hyperlink" xfId="4726" builtinId="9" hidden="1"/>
    <cellStyle name="Followed Hyperlink" xfId="4727" builtinId="9" hidden="1"/>
    <cellStyle name="Followed Hyperlink" xfId="4728" builtinId="9" hidden="1"/>
    <cellStyle name="Followed Hyperlink" xfId="4729" builtinId="9" hidden="1"/>
    <cellStyle name="Followed Hyperlink" xfId="4730" builtinId="9" hidden="1"/>
    <cellStyle name="Followed Hyperlink" xfId="4731" builtinId="9" hidden="1"/>
    <cellStyle name="Followed Hyperlink" xfId="4732" builtinId="9" hidden="1"/>
    <cellStyle name="Followed Hyperlink" xfId="4733" builtinId="9" hidden="1"/>
    <cellStyle name="Followed Hyperlink" xfId="4734" builtinId="9" hidden="1"/>
    <cellStyle name="Followed Hyperlink" xfId="4735" builtinId="9" hidden="1"/>
    <cellStyle name="Followed Hyperlink" xfId="4736" builtinId="9" hidden="1"/>
    <cellStyle name="Followed Hyperlink" xfId="4737" builtinId="9" hidden="1"/>
    <cellStyle name="Followed Hyperlink" xfId="4738" builtinId="9" hidden="1"/>
    <cellStyle name="Followed Hyperlink" xfId="4739" builtinId="9" hidden="1"/>
    <cellStyle name="Followed Hyperlink" xfId="4740" builtinId="9" hidden="1"/>
    <cellStyle name="Followed Hyperlink" xfId="4741"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46" builtinId="9" hidden="1"/>
    <cellStyle name="Followed Hyperlink" xfId="4747" builtinId="9" hidden="1"/>
    <cellStyle name="Followed Hyperlink" xfId="4748" builtinId="9" hidden="1"/>
    <cellStyle name="Followed Hyperlink" xfId="4749" builtinId="9" hidden="1"/>
    <cellStyle name="Followed Hyperlink" xfId="4750" builtinId="9" hidden="1"/>
    <cellStyle name="Followed Hyperlink" xfId="4751" builtinId="9" hidden="1"/>
    <cellStyle name="Followed Hyperlink" xfId="4752" builtinId="9" hidden="1"/>
    <cellStyle name="Followed Hyperlink" xfId="4753" builtinId="9" hidden="1"/>
    <cellStyle name="Followed Hyperlink" xfId="4754" builtinId="9" hidden="1"/>
    <cellStyle name="Followed Hyperlink" xfId="4755" builtinId="9" hidden="1"/>
    <cellStyle name="Followed Hyperlink" xfId="4756" builtinId="9" hidden="1"/>
    <cellStyle name="Followed Hyperlink" xfId="4757" builtinId="9" hidden="1"/>
    <cellStyle name="Followed Hyperlink" xfId="4758" builtinId="9" hidden="1"/>
    <cellStyle name="Followed Hyperlink" xfId="4759" builtinId="9" hidden="1"/>
    <cellStyle name="Followed Hyperlink" xfId="4760" builtinId="9" hidden="1"/>
    <cellStyle name="Followed Hyperlink" xfId="4761" builtinId="9" hidden="1"/>
    <cellStyle name="Followed Hyperlink" xfId="4762" builtinId="9" hidden="1"/>
    <cellStyle name="Followed Hyperlink" xfId="4763" builtinId="9" hidden="1"/>
    <cellStyle name="Followed Hyperlink" xfId="4764" builtinId="9" hidden="1"/>
    <cellStyle name="Followed Hyperlink" xfId="4765" builtinId="9" hidden="1"/>
    <cellStyle name="Followed Hyperlink" xfId="4766" builtinId="9" hidden="1"/>
    <cellStyle name="Followed Hyperlink" xfId="4767" builtinId="9" hidden="1"/>
    <cellStyle name="Followed Hyperlink" xfId="4768" builtinId="9" hidden="1"/>
    <cellStyle name="Followed Hyperlink" xfId="4769" builtinId="9" hidden="1"/>
    <cellStyle name="Followed Hyperlink" xfId="4770" builtinId="9" hidden="1"/>
    <cellStyle name="Followed Hyperlink" xfId="4771" builtinId="9" hidden="1"/>
    <cellStyle name="Followed Hyperlink" xfId="4772" builtinId="9" hidden="1"/>
    <cellStyle name="Followed Hyperlink" xfId="4773" builtinId="9" hidden="1"/>
    <cellStyle name="Followed Hyperlink" xfId="4774" builtinId="9" hidden="1"/>
    <cellStyle name="Followed Hyperlink" xfId="4775" builtinId="9" hidden="1"/>
    <cellStyle name="Followed Hyperlink" xfId="4776" builtinId="9" hidden="1"/>
    <cellStyle name="Followed Hyperlink" xfId="4777" builtinId="9" hidden="1"/>
    <cellStyle name="Followed Hyperlink" xfId="4778" builtinId="9" hidden="1"/>
    <cellStyle name="Followed Hyperlink" xfId="4779" builtinId="9" hidden="1"/>
    <cellStyle name="Followed Hyperlink" xfId="4780" builtinId="9" hidden="1"/>
    <cellStyle name="Followed Hyperlink" xfId="4781" builtinId="9" hidden="1"/>
    <cellStyle name="Followed Hyperlink" xfId="4782" builtinId="9" hidden="1"/>
    <cellStyle name="Followed Hyperlink" xfId="4783" builtinId="9" hidden="1"/>
    <cellStyle name="Followed Hyperlink" xfId="4784" builtinId="9" hidden="1"/>
    <cellStyle name="Followed Hyperlink" xfId="4785" builtinId="9" hidden="1"/>
    <cellStyle name="Followed Hyperlink" xfId="4786" builtinId="9" hidden="1"/>
    <cellStyle name="Followed Hyperlink" xfId="4787" builtinId="9" hidden="1"/>
    <cellStyle name="Followed Hyperlink" xfId="4788" builtinId="9" hidden="1"/>
    <cellStyle name="Followed Hyperlink" xfId="4789" builtinId="9" hidden="1"/>
    <cellStyle name="Followed Hyperlink" xfId="4790" builtinId="9" hidden="1"/>
    <cellStyle name="Followed Hyperlink" xfId="4791" builtinId="9" hidden="1"/>
    <cellStyle name="Followed Hyperlink" xfId="4792" builtinId="9" hidden="1"/>
    <cellStyle name="Followed Hyperlink" xfId="4793" builtinId="9" hidden="1"/>
    <cellStyle name="Followed Hyperlink" xfId="4794" builtinId="9" hidden="1"/>
    <cellStyle name="Followed Hyperlink" xfId="4795" builtinId="9" hidden="1"/>
    <cellStyle name="Followed Hyperlink" xfId="4796" builtinId="9" hidden="1"/>
    <cellStyle name="Followed Hyperlink" xfId="4797" builtinId="9" hidden="1"/>
    <cellStyle name="Followed Hyperlink" xfId="4798" builtinId="9" hidden="1"/>
    <cellStyle name="Followed Hyperlink" xfId="4799" builtinId="9" hidden="1"/>
    <cellStyle name="Followed Hyperlink" xfId="4800" builtinId="9" hidden="1"/>
    <cellStyle name="Followed Hyperlink" xfId="4801" builtinId="9" hidden="1"/>
    <cellStyle name="Followed Hyperlink" xfId="4802" builtinId="9" hidden="1"/>
    <cellStyle name="Followed Hyperlink" xfId="4803" builtinId="9" hidden="1"/>
    <cellStyle name="Followed Hyperlink" xfId="4804" builtinId="9" hidden="1"/>
    <cellStyle name="Followed Hyperlink" xfId="4805" builtinId="9" hidden="1"/>
    <cellStyle name="Followed Hyperlink" xfId="4806" builtinId="9" hidden="1"/>
    <cellStyle name="Followed Hyperlink" xfId="4807" builtinId="9" hidden="1"/>
    <cellStyle name="Followed Hyperlink" xfId="4808" builtinId="9" hidden="1"/>
    <cellStyle name="Followed Hyperlink" xfId="4809" builtinId="9" hidden="1"/>
    <cellStyle name="Followed Hyperlink" xfId="4810" builtinId="9" hidden="1"/>
    <cellStyle name="Followed Hyperlink" xfId="4811" builtinId="9" hidden="1"/>
    <cellStyle name="Followed Hyperlink" xfId="4812" builtinId="9" hidden="1"/>
    <cellStyle name="Followed Hyperlink" xfId="4813" builtinId="9" hidden="1"/>
    <cellStyle name="Followed Hyperlink" xfId="4814" builtinId="9" hidden="1"/>
    <cellStyle name="Followed Hyperlink" xfId="4815" builtinId="9" hidden="1"/>
    <cellStyle name="Followed Hyperlink" xfId="4816" builtinId="9" hidden="1"/>
    <cellStyle name="Followed Hyperlink" xfId="4817" builtinId="9" hidden="1"/>
    <cellStyle name="Followed Hyperlink" xfId="4818" builtinId="9" hidden="1"/>
    <cellStyle name="Followed Hyperlink" xfId="4819" builtinId="9" hidden="1"/>
    <cellStyle name="Followed Hyperlink" xfId="4820" builtinId="9" hidden="1"/>
    <cellStyle name="Followed Hyperlink" xfId="4821" builtinId="9" hidden="1"/>
    <cellStyle name="Followed Hyperlink" xfId="4822" builtinId="9" hidden="1"/>
    <cellStyle name="Followed Hyperlink" xfId="4823" builtinId="9" hidden="1"/>
    <cellStyle name="Followed Hyperlink" xfId="4824" builtinId="9" hidden="1"/>
    <cellStyle name="Followed Hyperlink" xfId="4825" builtinId="9" hidden="1"/>
    <cellStyle name="Followed Hyperlink" xfId="4826" builtinId="9" hidden="1"/>
    <cellStyle name="Followed Hyperlink" xfId="4827" builtinId="9" hidden="1"/>
    <cellStyle name="Followed Hyperlink" xfId="4828" builtinId="9" hidden="1"/>
    <cellStyle name="Followed Hyperlink" xfId="4829" builtinId="9" hidden="1"/>
    <cellStyle name="Followed Hyperlink" xfId="4830" builtinId="9" hidden="1"/>
    <cellStyle name="Followed Hyperlink" xfId="4831" builtinId="9" hidden="1"/>
    <cellStyle name="Followed Hyperlink" xfId="4832" builtinId="9" hidden="1"/>
    <cellStyle name="Followed Hyperlink" xfId="4833" builtinId="9" hidden="1"/>
    <cellStyle name="Followed Hyperlink" xfId="4834" builtinId="9" hidden="1"/>
    <cellStyle name="Followed Hyperlink" xfId="4835" builtinId="9" hidden="1"/>
    <cellStyle name="Followed Hyperlink" xfId="4836" builtinId="9" hidden="1"/>
    <cellStyle name="Followed Hyperlink" xfId="4837" builtinId="9" hidden="1"/>
    <cellStyle name="Followed Hyperlink" xfId="4838" builtinId="9" hidden="1"/>
    <cellStyle name="Followed Hyperlink" xfId="4839" builtinId="9" hidden="1"/>
    <cellStyle name="Followed Hyperlink" xfId="4840" builtinId="9" hidden="1"/>
    <cellStyle name="Followed Hyperlink" xfId="4841" builtinId="9" hidden="1"/>
    <cellStyle name="Followed Hyperlink" xfId="4842" builtinId="9" hidden="1"/>
    <cellStyle name="Followed Hyperlink" xfId="4843" builtinId="9" hidden="1"/>
    <cellStyle name="Followed Hyperlink" xfId="4844" builtinId="9" hidden="1"/>
    <cellStyle name="Followed Hyperlink" xfId="4845" builtinId="9" hidden="1"/>
    <cellStyle name="Followed Hyperlink" xfId="4846" builtinId="9" hidden="1"/>
    <cellStyle name="Followed Hyperlink" xfId="4847"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3" builtinId="9" hidden="1"/>
    <cellStyle name="Followed Hyperlink" xfId="4854" builtinId="9" hidden="1"/>
    <cellStyle name="Followed Hyperlink" xfId="4855" builtinId="9" hidden="1"/>
    <cellStyle name="Followed Hyperlink" xfId="4856" builtinId="9" hidden="1"/>
    <cellStyle name="Followed Hyperlink" xfId="4857" builtinId="9" hidden="1"/>
    <cellStyle name="Followed Hyperlink" xfId="4858" builtinId="9" hidden="1"/>
    <cellStyle name="Followed Hyperlink" xfId="4859" builtinId="9" hidden="1"/>
    <cellStyle name="Followed Hyperlink" xfId="4860" builtinId="9" hidden="1"/>
    <cellStyle name="Followed Hyperlink" xfId="4861" builtinId="9" hidden="1"/>
    <cellStyle name="Followed Hyperlink" xfId="4862" builtinId="9" hidden="1"/>
    <cellStyle name="Followed Hyperlink" xfId="4863" builtinId="9" hidden="1"/>
    <cellStyle name="Followed Hyperlink" xfId="4864" builtinId="9" hidden="1"/>
    <cellStyle name="Followed Hyperlink" xfId="4865" builtinId="9" hidden="1"/>
    <cellStyle name="Followed Hyperlink" xfId="4866" builtinId="9" hidden="1"/>
    <cellStyle name="Followed Hyperlink" xfId="4867" builtinId="9" hidden="1"/>
    <cellStyle name="Followed Hyperlink" xfId="4868" builtinId="9" hidden="1"/>
    <cellStyle name="Followed Hyperlink" xfId="4869" builtinId="9" hidden="1"/>
    <cellStyle name="Followed Hyperlink" xfId="4870" builtinId="9" hidden="1"/>
    <cellStyle name="Followed Hyperlink" xfId="4871" builtinId="9" hidden="1"/>
    <cellStyle name="Followed Hyperlink" xfId="4872" builtinId="9" hidden="1"/>
    <cellStyle name="Followed Hyperlink" xfId="4873" builtinId="9" hidden="1"/>
    <cellStyle name="Followed Hyperlink" xfId="4874" builtinId="9" hidden="1"/>
    <cellStyle name="Followed Hyperlink" xfId="4875" builtinId="9" hidden="1"/>
    <cellStyle name="Followed Hyperlink" xfId="4876" builtinId="9" hidden="1"/>
    <cellStyle name="Followed Hyperlink" xfId="4877" builtinId="9" hidden="1"/>
    <cellStyle name="Followed Hyperlink" xfId="4878" builtinId="9" hidden="1"/>
    <cellStyle name="Followed Hyperlink" xfId="4879" builtinId="9" hidden="1"/>
    <cellStyle name="Followed Hyperlink" xfId="4880" builtinId="9" hidden="1"/>
    <cellStyle name="Followed Hyperlink" xfId="4881" builtinId="9" hidden="1"/>
    <cellStyle name="Followed Hyperlink" xfId="4882" builtinId="9" hidden="1"/>
    <cellStyle name="Followed Hyperlink" xfId="4883" builtinId="9" hidden="1"/>
    <cellStyle name="Followed Hyperlink" xfId="4884" builtinId="9" hidden="1"/>
    <cellStyle name="Followed Hyperlink" xfId="4885" builtinId="9" hidden="1"/>
    <cellStyle name="Followed Hyperlink" xfId="4886" builtinId="9" hidden="1"/>
    <cellStyle name="Followed Hyperlink" xfId="4887" builtinId="9" hidden="1"/>
    <cellStyle name="Followed Hyperlink" xfId="4888" builtinId="9" hidden="1"/>
    <cellStyle name="Followed Hyperlink" xfId="4889" builtinId="9" hidden="1"/>
    <cellStyle name="Followed Hyperlink" xfId="4890" builtinId="9" hidden="1"/>
    <cellStyle name="Followed Hyperlink" xfId="4891" builtinId="9" hidden="1"/>
    <cellStyle name="Followed Hyperlink" xfId="4892" builtinId="9" hidden="1"/>
    <cellStyle name="Followed Hyperlink" xfId="4893" builtinId="9" hidden="1"/>
    <cellStyle name="Followed Hyperlink" xfId="4894" builtinId="9" hidden="1"/>
    <cellStyle name="Followed Hyperlink" xfId="4895" builtinId="9" hidden="1"/>
    <cellStyle name="Followed Hyperlink" xfId="4896" builtinId="9" hidden="1"/>
    <cellStyle name="Followed Hyperlink" xfId="4897" builtinId="9" hidden="1"/>
    <cellStyle name="Followed Hyperlink" xfId="4898" builtinId="9" hidden="1"/>
    <cellStyle name="Followed Hyperlink" xfId="4899" builtinId="9" hidden="1"/>
    <cellStyle name="Followed Hyperlink" xfId="4900" builtinId="9" hidden="1"/>
    <cellStyle name="Followed Hyperlink" xfId="4901" builtinId="9" hidden="1"/>
    <cellStyle name="Followed Hyperlink" xfId="4902" builtinId="9" hidden="1"/>
    <cellStyle name="Followed Hyperlink" xfId="4903" builtinId="9" hidden="1"/>
    <cellStyle name="Followed Hyperlink" xfId="4904" builtinId="9" hidden="1"/>
    <cellStyle name="Followed Hyperlink" xfId="4905" builtinId="9" hidden="1"/>
    <cellStyle name="Followed Hyperlink" xfId="4906" builtinId="9" hidden="1"/>
    <cellStyle name="Followed Hyperlink" xfId="4907" builtinId="9" hidden="1"/>
    <cellStyle name="Followed Hyperlink" xfId="4908" builtinId="9" hidden="1"/>
    <cellStyle name="Followed Hyperlink" xfId="4909" builtinId="9" hidden="1"/>
    <cellStyle name="Followed Hyperlink" xfId="4910" builtinId="9" hidden="1"/>
    <cellStyle name="Followed Hyperlink" xfId="4911" builtinId="9" hidden="1"/>
    <cellStyle name="Followed Hyperlink" xfId="4912" builtinId="9" hidden="1"/>
    <cellStyle name="Followed Hyperlink" xfId="4913" builtinId="9" hidden="1"/>
    <cellStyle name="Followed Hyperlink" xfId="4914" builtinId="9" hidden="1"/>
    <cellStyle name="Followed Hyperlink" xfId="4915" builtinId="9" hidden="1"/>
    <cellStyle name="Followed Hyperlink" xfId="4916" builtinId="9" hidden="1"/>
    <cellStyle name="Followed Hyperlink" xfId="4917" builtinId="9" hidden="1"/>
    <cellStyle name="Followed Hyperlink" xfId="4918" builtinId="9" hidden="1"/>
    <cellStyle name="Followed Hyperlink" xfId="4919" builtinId="9" hidden="1"/>
    <cellStyle name="Followed Hyperlink" xfId="4920" builtinId="9" hidden="1"/>
    <cellStyle name="Followed Hyperlink" xfId="4921" builtinId="9" hidden="1"/>
    <cellStyle name="Followed Hyperlink" xfId="4922" builtinId="9" hidden="1"/>
    <cellStyle name="Followed Hyperlink" xfId="4923" builtinId="9" hidden="1"/>
    <cellStyle name="Followed Hyperlink" xfId="4924" builtinId="9" hidden="1"/>
    <cellStyle name="Followed Hyperlink" xfId="4925" builtinId="9" hidden="1"/>
    <cellStyle name="Followed Hyperlink" xfId="4926" builtinId="9" hidden="1"/>
    <cellStyle name="Followed Hyperlink" xfId="4927" builtinId="9" hidden="1"/>
    <cellStyle name="Followed Hyperlink" xfId="4928" builtinId="9" hidden="1"/>
    <cellStyle name="Followed Hyperlink" xfId="4929" builtinId="9" hidden="1"/>
    <cellStyle name="Followed Hyperlink" xfId="4930" builtinId="9" hidden="1"/>
    <cellStyle name="Followed Hyperlink" xfId="4931" builtinId="9" hidden="1"/>
    <cellStyle name="Followed Hyperlink" xfId="4932" builtinId="9" hidden="1"/>
    <cellStyle name="Followed Hyperlink" xfId="4933" builtinId="9" hidden="1"/>
    <cellStyle name="Followed Hyperlink" xfId="4934" builtinId="9" hidden="1"/>
    <cellStyle name="Followed Hyperlink" xfId="4935" builtinId="9" hidden="1"/>
    <cellStyle name="Followed Hyperlink" xfId="4936" builtinId="9" hidden="1"/>
    <cellStyle name="Followed Hyperlink" xfId="4937" builtinId="9" hidden="1"/>
    <cellStyle name="Followed Hyperlink" xfId="4938" builtinId="9" hidden="1"/>
    <cellStyle name="Followed Hyperlink" xfId="4939" builtinId="9" hidden="1"/>
    <cellStyle name="Followed Hyperlink" xfId="4940" builtinId="9" hidden="1"/>
    <cellStyle name="Followed Hyperlink" xfId="4941" builtinId="9" hidden="1"/>
    <cellStyle name="Followed Hyperlink" xfId="4942" builtinId="9" hidden="1"/>
    <cellStyle name="Followed Hyperlink" xfId="4943" builtinId="9" hidden="1"/>
    <cellStyle name="Followed Hyperlink" xfId="4944" builtinId="9" hidden="1"/>
    <cellStyle name="Followed Hyperlink" xfId="4945" builtinId="9" hidden="1"/>
    <cellStyle name="Followed Hyperlink" xfId="4946" builtinId="9" hidden="1"/>
    <cellStyle name="Followed Hyperlink" xfId="4947" builtinId="9" hidden="1"/>
    <cellStyle name="Followed Hyperlink" xfId="4948" builtinId="9" hidden="1"/>
    <cellStyle name="Followed Hyperlink" xfId="4949" builtinId="9" hidden="1"/>
    <cellStyle name="Followed Hyperlink" xfId="4950" builtinId="9" hidden="1"/>
    <cellStyle name="Followed Hyperlink" xfId="4951" builtinId="9" hidden="1"/>
    <cellStyle name="Followed Hyperlink" xfId="4952" builtinId="9" hidden="1"/>
    <cellStyle name="Followed Hyperlink" xfId="4953" builtinId="9" hidden="1"/>
    <cellStyle name="Followed Hyperlink" xfId="4954" builtinId="9" hidden="1"/>
    <cellStyle name="Followed Hyperlink" xfId="4955" builtinId="9" hidden="1"/>
    <cellStyle name="Followed Hyperlink" xfId="4956" builtinId="9" hidden="1"/>
    <cellStyle name="Followed Hyperlink" xfId="4957" builtinId="9" hidden="1"/>
    <cellStyle name="Followed Hyperlink" xfId="4958" builtinId="9" hidden="1"/>
    <cellStyle name="Followed Hyperlink" xfId="4959" builtinId="9" hidden="1"/>
    <cellStyle name="Followed Hyperlink" xfId="4960" builtinId="9" hidden="1"/>
    <cellStyle name="Followed Hyperlink" xfId="4961" builtinId="9" hidden="1"/>
    <cellStyle name="Followed Hyperlink" xfId="4962" builtinId="9" hidden="1"/>
    <cellStyle name="Followed Hyperlink" xfId="4963" builtinId="9" hidden="1"/>
    <cellStyle name="Followed Hyperlink" xfId="4964" builtinId="9" hidden="1"/>
    <cellStyle name="Followed Hyperlink" xfId="4965" builtinId="9" hidden="1"/>
    <cellStyle name="Followed Hyperlink" xfId="4966" builtinId="9" hidden="1"/>
    <cellStyle name="Followed Hyperlink" xfId="4967" builtinId="9" hidden="1"/>
    <cellStyle name="Followed Hyperlink" xfId="4968" builtinId="9" hidden="1"/>
    <cellStyle name="Followed Hyperlink" xfId="4969" builtinId="9" hidden="1"/>
    <cellStyle name="Followed Hyperlink" xfId="4970" builtinId="9" hidden="1"/>
    <cellStyle name="Followed Hyperlink" xfId="4971" builtinId="9" hidden="1"/>
    <cellStyle name="Followed Hyperlink" xfId="4972" builtinId="9" hidden="1"/>
    <cellStyle name="Followed Hyperlink" xfId="4973" builtinId="9" hidden="1"/>
    <cellStyle name="Followed Hyperlink" xfId="4974" builtinId="9" hidden="1"/>
    <cellStyle name="Followed Hyperlink" xfId="4975" builtinId="9" hidden="1"/>
    <cellStyle name="Followed Hyperlink" xfId="4976" builtinId="9" hidden="1"/>
    <cellStyle name="Followed Hyperlink" xfId="4977" builtinId="9" hidden="1"/>
    <cellStyle name="Followed Hyperlink" xfId="4978" builtinId="9" hidden="1"/>
    <cellStyle name="Followed Hyperlink" xfId="4979" builtinId="9" hidden="1"/>
    <cellStyle name="Followed Hyperlink" xfId="4980" builtinId="9" hidden="1"/>
    <cellStyle name="Followed Hyperlink" xfId="4981" builtinId="9" hidden="1"/>
    <cellStyle name="Followed Hyperlink" xfId="4982" builtinId="9" hidden="1"/>
    <cellStyle name="Followed Hyperlink" xfId="4983" builtinId="9" hidden="1"/>
    <cellStyle name="Followed Hyperlink" xfId="4984" builtinId="9" hidden="1"/>
    <cellStyle name="Followed Hyperlink" xfId="4985" builtinId="9" hidden="1"/>
    <cellStyle name="Followed Hyperlink" xfId="4986" builtinId="9" hidden="1"/>
    <cellStyle name="Followed Hyperlink" xfId="4987" builtinId="9" hidden="1"/>
    <cellStyle name="Followed Hyperlink" xfId="4988" builtinId="9" hidden="1"/>
    <cellStyle name="Followed Hyperlink" xfId="4989" builtinId="9" hidden="1"/>
    <cellStyle name="Followed Hyperlink" xfId="4990" builtinId="9" hidden="1"/>
    <cellStyle name="Followed Hyperlink" xfId="4991" builtinId="9" hidden="1"/>
    <cellStyle name="Followed Hyperlink" xfId="4992" builtinId="9" hidden="1"/>
    <cellStyle name="Followed Hyperlink" xfId="4993" builtinId="9" hidden="1"/>
    <cellStyle name="Followed Hyperlink" xfId="4994" builtinId="9" hidden="1"/>
    <cellStyle name="Followed Hyperlink" xfId="4995" builtinId="9" hidden="1"/>
    <cellStyle name="Followed Hyperlink" xfId="4996" builtinId="9" hidden="1"/>
    <cellStyle name="Followed Hyperlink" xfId="4997" builtinId="9" hidden="1"/>
    <cellStyle name="Followed Hyperlink" xfId="4998" builtinId="9" hidden="1"/>
    <cellStyle name="Followed Hyperlink" xfId="4999" builtinId="9" hidden="1"/>
    <cellStyle name="Followed Hyperlink" xfId="5000" builtinId="9" hidden="1"/>
    <cellStyle name="Followed Hyperlink" xfId="5001" builtinId="9" hidden="1"/>
    <cellStyle name="Followed Hyperlink" xfId="5002" builtinId="9" hidden="1"/>
    <cellStyle name="Followed Hyperlink" xfId="5003" builtinId="9" hidden="1"/>
    <cellStyle name="Followed Hyperlink" xfId="5004" builtinId="9" hidden="1"/>
    <cellStyle name="Followed Hyperlink" xfId="5005" builtinId="9" hidden="1"/>
    <cellStyle name="Followed Hyperlink" xfId="5006" builtinId="9" hidden="1"/>
    <cellStyle name="Followed Hyperlink" xfId="5007" builtinId="9" hidden="1"/>
    <cellStyle name="Followed Hyperlink" xfId="5008" builtinId="9" hidden="1"/>
    <cellStyle name="Followed Hyperlink" xfId="5009" builtinId="9" hidden="1"/>
    <cellStyle name="Followed Hyperlink" xfId="5010" builtinId="9" hidden="1"/>
    <cellStyle name="Followed Hyperlink" xfId="5011" builtinId="9" hidden="1"/>
    <cellStyle name="Followed Hyperlink" xfId="5012" builtinId="9" hidden="1"/>
    <cellStyle name="Followed Hyperlink" xfId="5013" builtinId="9" hidden="1"/>
    <cellStyle name="Followed Hyperlink" xfId="5014" builtinId="9" hidden="1"/>
    <cellStyle name="Followed Hyperlink" xfId="5015" builtinId="9" hidden="1"/>
    <cellStyle name="Followed Hyperlink" xfId="5016" builtinId="9" hidden="1"/>
    <cellStyle name="Followed Hyperlink" xfId="5017" builtinId="9" hidden="1"/>
    <cellStyle name="Followed Hyperlink" xfId="5018" builtinId="9" hidden="1"/>
    <cellStyle name="Followed Hyperlink" xfId="5019" builtinId="9" hidden="1"/>
    <cellStyle name="Followed Hyperlink" xfId="5020" builtinId="9" hidden="1"/>
    <cellStyle name="Followed Hyperlink" xfId="5021" builtinId="9" hidden="1"/>
    <cellStyle name="Followed Hyperlink" xfId="5022" builtinId="9" hidden="1"/>
    <cellStyle name="Followed Hyperlink" xfId="5023" builtinId="9" hidden="1"/>
    <cellStyle name="Followed Hyperlink" xfId="5024" builtinId="9" hidden="1"/>
    <cellStyle name="Followed Hyperlink" xfId="5025" builtinId="9" hidden="1"/>
    <cellStyle name="Followed Hyperlink" xfId="5026" builtinId="9" hidden="1"/>
    <cellStyle name="Followed Hyperlink" xfId="5027" builtinId="9" hidden="1"/>
    <cellStyle name="Followed Hyperlink" xfId="5028" builtinId="9" hidden="1"/>
    <cellStyle name="Followed Hyperlink" xfId="5029" builtinId="9" hidden="1"/>
    <cellStyle name="Followed Hyperlink" xfId="5030" builtinId="9" hidden="1"/>
    <cellStyle name="Followed Hyperlink" xfId="5031" builtinId="9" hidden="1"/>
    <cellStyle name="Followed Hyperlink" xfId="5032" builtinId="9" hidden="1"/>
    <cellStyle name="Followed Hyperlink" xfId="5033" builtinId="9" hidden="1"/>
    <cellStyle name="Followed Hyperlink" xfId="5034" builtinId="9" hidden="1"/>
    <cellStyle name="Followed Hyperlink" xfId="5035" builtinId="9" hidden="1"/>
    <cellStyle name="Followed Hyperlink" xfId="5036" builtinId="9" hidden="1"/>
    <cellStyle name="Followed Hyperlink" xfId="5037" builtinId="9" hidden="1"/>
    <cellStyle name="Followed Hyperlink" xfId="5038" builtinId="9" hidden="1"/>
    <cellStyle name="Followed Hyperlink" xfId="5039" builtinId="9" hidden="1"/>
    <cellStyle name="Followed Hyperlink" xfId="5040" builtinId="9" hidden="1"/>
    <cellStyle name="Followed Hyperlink" xfId="5041" builtinId="9" hidden="1"/>
    <cellStyle name="Followed Hyperlink" xfId="5042" builtinId="9" hidden="1"/>
    <cellStyle name="Followed Hyperlink" xfId="5043" builtinId="9" hidden="1"/>
    <cellStyle name="Followed Hyperlink" xfId="5044" builtinId="9" hidden="1"/>
    <cellStyle name="Followed Hyperlink" xfId="5045" builtinId="9" hidden="1"/>
    <cellStyle name="Followed Hyperlink" xfId="5046" builtinId="9" hidden="1"/>
    <cellStyle name="Followed Hyperlink" xfId="5047" builtinId="9" hidden="1"/>
    <cellStyle name="Followed Hyperlink" xfId="5048" builtinId="9" hidden="1"/>
    <cellStyle name="Followed Hyperlink" xfId="5049" builtinId="9" hidden="1"/>
    <cellStyle name="Followed Hyperlink" xfId="5050" builtinId="9" hidden="1"/>
    <cellStyle name="Followed Hyperlink" xfId="5051" builtinId="9" hidden="1"/>
    <cellStyle name="Followed Hyperlink" xfId="5052" builtinId="9" hidden="1"/>
    <cellStyle name="Followed Hyperlink" xfId="5053" builtinId="9" hidden="1"/>
    <cellStyle name="Followed Hyperlink" xfId="5054" builtinId="9" hidden="1"/>
    <cellStyle name="Followed Hyperlink" xfId="5055" builtinId="9" hidden="1"/>
    <cellStyle name="Followed Hyperlink" xfId="5056" builtinId="9" hidden="1"/>
    <cellStyle name="Followed Hyperlink" xfId="5057" builtinId="9" hidden="1"/>
    <cellStyle name="Followed Hyperlink" xfId="5058" builtinId="9" hidden="1"/>
    <cellStyle name="Followed Hyperlink" xfId="5059" builtinId="9" hidden="1"/>
    <cellStyle name="Followed Hyperlink" xfId="5060" builtinId="9" hidden="1"/>
    <cellStyle name="Followed Hyperlink" xfId="5061" builtinId="9" hidden="1"/>
    <cellStyle name="Followed Hyperlink" xfId="506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5074" builtinId="9" hidden="1"/>
    <cellStyle name="Followed Hyperlink" xfId="5075" builtinId="9" hidden="1"/>
    <cellStyle name="Followed Hyperlink" xfId="5076" builtinId="9" hidden="1"/>
    <cellStyle name="Followed Hyperlink" xfId="5077" builtinId="9" hidden="1"/>
    <cellStyle name="Followed Hyperlink" xfId="5078" builtinId="9" hidden="1"/>
    <cellStyle name="Followed Hyperlink" xfId="5079" builtinId="9" hidden="1"/>
    <cellStyle name="Followed Hyperlink" xfId="5080"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1"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2111" builtinId="8" hidden="1"/>
    <cellStyle name="Hyperlink" xfId="2113" builtinId="8" hidden="1"/>
    <cellStyle name="Hyperlink" xfId="2115" builtinId="8" hidden="1"/>
    <cellStyle name="Hyperlink" xfId="2117" builtinId="8" hidden="1"/>
    <cellStyle name="Hyperlink" xfId="2119" builtinId="8" hidden="1"/>
    <cellStyle name="Hyperlink" xfId="2121" builtinId="8" hidden="1"/>
    <cellStyle name="Hyperlink" xfId="2123" builtinId="8" hidden="1"/>
    <cellStyle name="Hyperlink" xfId="2125" builtinId="8" hidden="1"/>
    <cellStyle name="Hyperlink" xfId="2127" builtinId="8" hidden="1"/>
    <cellStyle name="Hyperlink" xfId="2129" builtinId="8" hidden="1"/>
    <cellStyle name="Hyperlink" xfId="2131" builtinId="8" hidden="1"/>
    <cellStyle name="Hyperlink" xfId="2133" builtinId="8" hidden="1"/>
    <cellStyle name="Hyperlink" xfId="2135"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7" builtinId="8" hidden="1"/>
    <cellStyle name="Hyperlink" xfId="2169" builtinId="8" hidden="1"/>
    <cellStyle name="Hyperlink" xfId="2171" builtinId="8" hidden="1"/>
    <cellStyle name="Hyperlink" xfId="2173" builtinId="8" hidden="1"/>
    <cellStyle name="Hyperlink" xfId="2175" builtinId="8" hidden="1"/>
    <cellStyle name="Hyperlink" xfId="2177" builtinId="8" hidden="1"/>
    <cellStyle name="Hyperlink" xfId="2179" builtinId="8" hidden="1"/>
    <cellStyle name="Hyperlink" xfId="2181" builtinId="8" hidden="1"/>
    <cellStyle name="Hyperlink" xfId="2183" builtinId="8" hidden="1"/>
    <cellStyle name="Hyperlink" xfId="2185" builtinId="8" hidden="1"/>
    <cellStyle name="Hyperlink" xfId="2187" builtinId="8" hidden="1"/>
    <cellStyle name="Hyperlink" xfId="2189" builtinId="8" hidden="1"/>
    <cellStyle name="Hyperlink" xfId="2191" builtinId="8" hidden="1"/>
    <cellStyle name="Hyperlink" xfId="2193" builtinId="8" hidden="1"/>
    <cellStyle name="Hyperlink" xfId="2195" builtinId="8" hidden="1"/>
    <cellStyle name="Hyperlink" xfId="2197" builtinId="8" hidden="1"/>
    <cellStyle name="Hyperlink" xfId="2199" builtinId="8" hidden="1"/>
    <cellStyle name="Hyperlink" xfId="2201" builtinId="8" hidden="1"/>
    <cellStyle name="Hyperlink" xfId="2203" builtinId="8" hidden="1"/>
    <cellStyle name="Hyperlink" xfId="2205" builtinId="8" hidden="1"/>
    <cellStyle name="Hyperlink" xfId="2207" builtinId="8" hidden="1"/>
    <cellStyle name="Hyperlink" xfId="2209" builtinId="8" hidden="1"/>
    <cellStyle name="Hyperlink" xfId="2211" builtinId="8" hidden="1"/>
    <cellStyle name="Hyperlink" xfId="2213" builtinId="8" hidden="1"/>
    <cellStyle name="Hyperlink" xfId="2215" builtinId="8" hidden="1"/>
    <cellStyle name="Hyperlink" xfId="2217" builtinId="8" hidden="1"/>
    <cellStyle name="Hyperlink" xfId="2219" builtinId="8" hidden="1"/>
    <cellStyle name="Hyperlink" xfId="2221" builtinId="8" hidden="1"/>
    <cellStyle name="Hyperlink" xfId="2223" builtinId="8" hidden="1"/>
    <cellStyle name="Hyperlink" xfId="2225" builtinId="8" hidden="1"/>
    <cellStyle name="Hyperlink" xfId="2227" builtinId="8" hidden="1"/>
    <cellStyle name="Hyperlink" xfId="2229" builtinId="8" hidden="1"/>
    <cellStyle name="Hyperlink" xfId="2231" builtinId="8" hidden="1"/>
    <cellStyle name="Hyperlink" xfId="2233" builtinId="8" hidden="1"/>
    <cellStyle name="Hyperlink" xfId="2235" builtinId="8" hidden="1"/>
    <cellStyle name="Hyperlink" xfId="2237" builtinId="8" hidden="1"/>
    <cellStyle name="Hyperlink" xfId="2239" builtinId="8" hidden="1"/>
    <cellStyle name="Hyperlink" xfId="2241" builtinId="8" hidden="1"/>
    <cellStyle name="Hyperlink" xfId="2243" builtinId="8" hidden="1"/>
    <cellStyle name="Hyperlink" xfId="2245" builtinId="8" hidden="1"/>
    <cellStyle name="Hyperlink" xfId="2247" builtinId="8" hidden="1"/>
    <cellStyle name="Hyperlink" xfId="2249" builtinId="8" hidden="1"/>
    <cellStyle name="Hyperlink" xfId="2251" builtinId="8" hidden="1"/>
    <cellStyle name="Hyperlink" xfId="2253" builtinId="8" hidden="1"/>
    <cellStyle name="Hyperlink" xfId="2255" builtinId="8" hidden="1"/>
    <cellStyle name="Hyperlink" xfId="2257" builtinId="8" hidden="1"/>
    <cellStyle name="Hyperlink" xfId="2259" builtinId="8" hidden="1"/>
    <cellStyle name="Hyperlink" xfId="2261" builtinId="8" hidden="1"/>
    <cellStyle name="Hyperlink" xfId="2263" builtinId="8" hidden="1"/>
    <cellStyle name="Hyperlink" xfId="2265" builtinId="8" hidden="1"/>
    <cellStyle name="Hyperlink" xfId="2267" builtinId="8" hidden="1"/>
    <cellStyle name="Hyperlink" xfId="2269" builtinId="8" hidden="1"/>
    <cellStyle name="Hyperlink" xfId="2271" builtinId="8" hidden="1"/>
    <cellStyle name="Hyperlink" xfId="2273" builtinId="8" hidden="1"/>
    <cellStyle name="Hyperlink" xfId="2275" builtinId="8" hidden="1"/>
    <cellStyle name="Hyperlink" xfId="2277" builtinId="8" hidden="1"/>
    <cellStyle name="Hyperlink" xfId="2279" builtinId="8" hidden="1"/>
    <cellStyle name="Hyperlink" xfId="2281" builtinId="8" hidden="1"/>
    <cellStyle name="Hyperlink" xfId="2283" builtinId="8" hidden="1"/>
    <cellStyle name="Hyperlink" xfId="2285" builtinId="8" hidden="1"/>
    <cellStyle name="Hyperlink" xfId="2287" builtinId="8" hidden="1"/>
    <cellStyle name="Hyperlink" xfId="2289" builtinId="8" hidden="1"/>
    <cellStyle name="Hyperlink" xfId="2291" builtinId="8" hidden="1"/>
    <cellStyle name="Hyperlink" xfId="2293" builtinId="8" hidden="1"/>
    <cellStyle name="Hyperlink" xfId="2295" builtinId="8" hidden="1"/>
    <cellStyle name="Hyperlink" xfId="2297" builtinId="8" hidden="1"/>
    <cellStyle name="Hyperlink" xfId="2299" builtinId="8" hidden="1"/>
    <cellStyle name="Hyperlink" xfId="2301" builtinId="8" hidden="1"/>
    <cellStyle name="Hyperlink" xfId="2303" builtinId="8" hidden="1"/>
    <cellStyle name="Hyperlink" xfId="2305" builtinId="8" hidden="1"/>
    <cellStyle name="Hyperlink" xfId="2307" builtinId="8" hidden="1"/>
    <cellStyle name="Hyperlink" xfId="2309" builtinId="8" hidden="1"/>
    <cellStyle name="Hyperlink" xfId="2311" builtinId="8" hidden="1"/>
    <cellStyle name="Hyperlink" xfId="2313" builtinId="8" hidden="1"/>
    <cellStyle name="Hyperlink" xfId="2315" builtinId="8" hidden="1"/>
    <cellStyle name="Hyperlink" xfId="2317" builtinId="8" hidden="1"/>
    <cellStyle name="Hyperlink" xfId="2319" builtinId="8" hidden="1"/>
    <cellStyle name="Hyperlink" xfId="2321" builtinId="8" hidden="1"/>
    <cellStyle name="Hyperlink" xfId="2323" builtinId="8" hidden="1"/>
    <cellStyle name="Hyperlink" xfId="2325" builtinId="8" hidden="1"/>
    <cellStyle name="Hyperlink" xfId="2327" builtinId="8" hidden="1"/>
    <cellStyle name="Hyperlink" xfId="2329" builtinId="8" hidden="1"/>
    <cellStyle name="Hyperlink" xfId="2331" builtinId="8" hidden="1"/>
    <cellStyle name="Hyperlink" xfId="2333" builtinId="8" hidden="1"/>
    <cellStyle name="Hyperlink" xfId="2335" builtinId="8" hidden="1"/>
    <cellStyle name="Hyperlink" xfId="2337" builtinId="8" hidden="1"/>
    <cellStyle name="Hyperlink" xfId="2339" builtinId="8" hidden="1"/>
    <cellStyle name="Hyperlink" xfId="2341" builtinId="8" hidden="1"/>
    <cellStyle name="Hyperlink" xfId="2343" builtinId="8" hidden="1"/>
    <cellStyle name="Hyperlink" xfId="2345" builtinId="8" hidden="1"/>
    <cellStyle name="Hyperlink" xfId="2347" builtinId="8" hidden="1"/>
    <cellStyle name="Hyperlink" xfId="2349" builtinId="8" hidden="1"/>
    <cellStyle name="Hyperlink" xfId="2351" builtinId="8" hidden="1"/>
    <cellStyle name="Hyperlink" xfId="2353" builtinId="8" hidden="1"/>
    <cellStyle name="Hyperlink" xfId="2355" builtinId="8" hidden="1"/>
    <cellStyle name="Hyperlink" xfId="2357" builtinId="8" hidden="1"/>
    <cellStyle name="Hyperlink" xfId="2359" builtinId="8" hidden="1"/>
    <cellStyle name="Hyperlink" xfId="2361" builtinId="8" hidden="1"/>
    <cellStyle name="Hyperlink" xfId="2363" builtinId="8" hidden="1"/>
    <cellStyle name="Hyperlink" xfId="2365" builtinId="8" hidden="1"/>
    <cellStyle name="Hyperlink" xfId="2367" builtinId="8" hidden="1"/>
    <cellStyle name="Hyperlink" xfId="2369" builtinId="8" hidden="1"/>
    <cellStyle name="Hyperlink" xfId="2371" builtinId="8" hidden="1"/>
    <cellStyle name="Hyperlink" xfId="2373" builtinId="8" hidden="1"/>
    <cellStyle name="Hyperlink" xfId="2375" builtinId="8" hidden="1"/>
    <cellStyle name="Hyperlink" xfId="2377" builtinId="8" hidden="1"/>
    <cellStyle name="Hyperlink" xfId="2379" builtinId="8" hidden="1"/>
    <cellStyle name="Hyperlink" xfId="2381" builtinId="8" hidden="1"/>
    <cellStyle name="Hyperlink" xfId="2383" builtinId="8" hidden="1"/>
    <cellStyle name="Hyperlink" xfId="2385" builtinId="8" hidden="1"/>
    <cellStyle name="Hyperlink" xfId="2387" builtinId="8" hidden="1"/>
    <cellStyle name="Hyperlink" xfId="2389" builtinId="8" hidden="1"/>
    <cellStyle name="Hyperlink" xfId="2391" builtinId="8" hidden="1"/>
    <cellStyle name="Hyperlink" xfId="2393" builtinId="8" hidden="1"/>
    <cellStyle name="Hyperlink" xfId="2395" builtinId="8" hidden="1"/>
    <cellStyle name="Hyperlink" xfId="2397" builtinId="8" hidden="1"/>
    <cellStyle name="Hyperlink" xfId="2399" builtinId="8" hidden="1"/>
    <cellStyle name="Hyperlink" xfId="2401" builtinId="8" hidden="1"/>
    <cellStyle name="Hyperlink" xfId="2403" builtinId="8" hidden="1"/>
    <cellStyle name="Hyperlink" xfId="2405" builtinId="8" hidden="1"/>
    <cellStyle name="Hyperlink" xfId="2407" builtinId="8" hidden="1"/>
    <cellStyle name="Hyperlink" xfId="2409" builtinId="8" hidden="1"/>
    <cellStyle name="Hyperlink" xfId="2411" builtinId="8" hidden="1"/>
    <cellStyle name="Hyperlink" xfId="2413" builtinId="8" hidden="1"/>
    <cellStyle name="Hyperlink" xfId="2415" builtinId="8" hidden="1"/>
    <cellStyle name="Hyperlink" xfId="2417" builtinId="8" hidden="1"/>
    <cellStyle name="Hyperlink" xfId="2419" builtinId="8" hidden="1"/>
    <cellStyle name="Hyperlink" xfId="2421" builtinId="8" hidden="1"/>
    <cellStyle name="Hyperlink" xfId="2423" builtinId="8" hidden="1"/>
    <cellStyle name="Hyperlink" xfId="2425" builtinId="8" hidden="1"/>
    <cellStyle name="Hyperlink" xfId="2427" builtinId="8" hidden="1"/>
    <cellStyle name="Hyperlink" xfId="2429" builtinId="8" hidden="1"/>
    <cellStyle name="Hyperlink" xfId="2431" builtinId="8" hidden="1"/>
    <cellStyle name="Hyperlink" xfId="2433" builtinId="8" hidden="1"/>
    <cellStyle name="Hyperlink" xfId="2435" builtinId="8" hidden="1"/>
    <cellStyle name="Hyperlink" xfId="2437" builtinId="8" hidden="1"/>
    <cellStyle name="Hyperlink" xfId="2439" builtinId="8" hidden="1"/>
    <cellStyle name="Hyperlink" xfId="2441" builtinId="8" hidden="1"/>
    <cellStyle name="Hyperlink" xfId="2443" builtinId="8" hidden="1"/>
    <cellStyle name="Hyperlink" xfId="2445" builtinId="8" hidden="1"/>
    <cellStyle name="Hyperlink" xfId="2447" builtinId="8" hidden="1"/>
    <cellStyle name="Hyperlink" xfId="2449" builtinId="8" hidden="1"/>
    <cellStyle name="Hyperlink" xfId="2451" builtinId="8" hidden="1"/>
    <cellStyle name="Hyperlink" xfId="2453" builtinId="8" hidden="1"/>
    <cellStyle name="Hyperlink" xfId="2455" builtinId="8" hidden="1"/>
    <cellStyle name="Hyperlink" xfId="2457" builtinId="8" hidden="1"/>
    <cellStyle name="Hyperlink" xfId="2459" builtinId="8" hidden="1"/>
    <cellStyle name="Hyperlink" xfId="2461" builtinId="8" hidden="1"/>
    <cellStyle name="Hyperlink" xfId="2463" builtinId="8" hidden="1"/>
    <cellStyle name="Hyperlink" xfId="2465" builtinId="8" hidden="1"/>
    <cellStyle name="Hyperlink" xfId="2467" builtinId="8" hidden="1"/>
    <cellStyle name="Hyperlink" xfId="2469" builtinId="8" hidden="1"/>
    <cellStyle name="Hyperlink" xfId="2471" builtinId="8" hidden="1"/>
    <cellStyle name="Hyperlink" xfId="2473" builtinId="8" hidden="1"/>
    <cellStyle name="Hyperlink" xfId="2475" builtinId="8" hidden="1"/>
    <cellStyle name="Hyperlink" xfId="2477" builtinId="8" hidden="1"/>
    <cellStyle name="Hyperlink" xfId="2479" builtinId="8"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2" xfId="4519"/>
    <cellStyle name="Normal" xfId="0" builtinId="0"/>
    <cellStyle name="Normal 2" xfId="4419"/>
    <cellStyle name="Percent" xfId="1"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DFFFF"/>
      <color rgb="FF006600"/>
      <color rgb="FFEAEAEA"/>
      <color rgb="FFE6E6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theme" Target="theme/theme1.xml"/><Relationship Id="rId21" Type="http://schemas.openxmlformats.org/officeDocument/2006/relationships/styles" Target="styles.xml"/><Relationship Id="rId22" Type="http://schemas.openxmlformats.org/officeDocument/2006/relationships/sharedStrings" Target="sharedStrings.xml"/><Relationship Id="rId23"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hyperlink" Target="http://www.phillyburbs.com/my_town/bensalem/smarty-jones-baby-arrives-in-buckingham/article_01ebed19-6a50-513e-a602-4a2c7091f609.html" TargetMode="External"/><Relationship Id="rId2"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howOutlineSymbols="0"/>
  </sheetPr>
  <dimension ref="A1:CL1152"/>
  <sheetViews>
    <sheetView tabSelected="1" showOutlineSymbols="0" workbookViewId="0">
      <pane ySplit="5" topLeftCell="A1013" activePane="bottomLeft" state="frozen"/>
      <selection pane="bottomLeft" activeCell="A1038" sqref="A1038"/>
    </sheetView>
  </sheetViews>
  <sheetFormatPr baseColWidth="10" defaultColWidth="8.83203125" defaultRowHeight="13" x14ac:dyDescent="0.15"/>
  <cols>
    <col min="1" max="1" width="20.33203125" style="5" customWidth="1"/>
    <col min="2" max="2" width="11" style="22" customWidth="1"/>
    <col min="3" max="3" width="19.1640625" style="18" customWidth="1"/>
    <col min="4" max="4" width="13.83203125" style="18" customWidth="1"/>
    <col min="5" max="5" width="11.6640625" style="18" customWidth="1"/>
    <col min="6" max="6" width="17" style="18" customWidth="1"/>
    <col min="7" max="7" width="5.33203125" style="23" customWidth="1"/>
    <col min="8" max="8" width="5" style="24" customWidth="1"/>
    <col min="9" max="9" width="6.6640625" style="27" customWidth="1"/>
    <col min="10" max="10" width="4.5" style="27" customWidth="1"/>
    <col min="11" max="11" width="5.83203125" style="23" customWidth="1"/>
    <col min="12" max="12" width="5.6640625" style="215" customWidth="1"/>
    <col min="13" max="13" width="10.33203125" style="25" customWidth="1"/>
    <col min="14" max="14" width="25.83203125" style="18" customWidth="1"/>
    <col min="15" max="15" width="5.6640625" style="23" customWidth="1"/>
    <col min="16" max="16" width="9.6640625" style="216" customWidth="1"/>
    <col min="17" max="17" width="9.5" style="3" customWidth="1"/>
    <col min="18" max="18" width="10.5" style="25" customWidth="1"/>
    <col min="19" max="19" width="3" style="23" customWidth="1"/>
    <col min="20" max="20" width="16.1640625" style="217" customWidth="1"/>
    <col min="21" max="21" width="23.6640625" style="19" customWidth="1"/>
    <col min="22" max="22" width="8.83203125" style="19" customWidth="1"/>
    <col min="23" max="23" width="10.5" style="2" customWidth="1"/>
    <col min="24" max="30" width="8.83203125" style="19" customWidth="1"/>
    <col min="31" max="50" width="5.6640625" style="19" customWidth="1"/>
    <col min="51" max="51" width="12.33203125" style="218" customWidth="1"/>
    <col min="52" max="52" width="8.83203125" style="5"/>
    <col min="53" max="85" width="8.83203125" style="19"/>
    <col min="86" max="86" width="8.83203125" style="26"/>
    <col min="87" max="16384" width="8.83203125" style="19"/>
  </cols>
  <sheetData>
    <row r="1" spans="1:90" s="315" customFormat="1" x14ac:dyDescent="0.15">
      <c r="A1" s="325" t="s">
        <v>5746</v>
      </c>
      <c r="B1" s="324"/>
      <c r="C1" s="28"/>
      <c r="D1" s="28"/>
      <c r="E1" s="28"/>
      <c r="F1" s="28"/>
      <c r="G1" s="33"/>
      <c r="H1" s="308"/>
      <c r="I1" s="309"/>
      <c r="J1" s="309"/>
      <c r="K1" s="33"/>
      <c r="L1" s="304"/>
      <c r="M1" s="30"/>
      <c r="N1" s="28"/>
      <c r="O1" s="33"/>
      <c r="P1" s="312"/>
      <c r="Q1" s="313"/>
      <c r="R1" s="30"/>
      <c r="S1" s="33"/>
      <c r="T1" s="314"/>
      <c r="W1" s="31"/>
      <c r="AY1" s="316"/>
      <c r="AZ1" s="317"/>
      <c r="CH1" s="318"/>
    </row>
    <row r="2" spans="1:90" s="315" customFormat="1" x14ac:dyDescent="0.15">
      <c r="A2" s="317" t="s">
        <v>1090</v>
      </c>
      <c r="B2" s="324"/>
      <c r="C2" s="28"/>
      <c r="D2" s="28"/>
      <c r="E2" s="28"/>
      <c r="F2" s="28"/>
      <c r="G2" s="326"/>
      <c r="H2" s="327" t="s">
        <v>520</v>
      </c>
      <c r="I2" s="327"/>
      <c r="J2" s="327"/>
      <c r="K2" s="29"/>
      <c r="L2" s="351" t="s">
        <v>3086</v>
      </c>
      <c r="M2" s="30"/>
      <c r="N2" s="28"/>
      <c r="O2" s="33"/>
      <c r="P2" s="312"/>
      <c r="Q2" s="328"/>
      <c r="R2" s="30"/>
      <c r="S2" s="33"/>
      <c r="T2" s="314"/>
      <c r="U2" s="32"/>
      <c r="W2" s="31"/>
      <c r="AY2" s="316"/>
      <c r="AZ2" s="317"/>
      <c r="CH2" s="318"/>
    </row>
    <row r="3" spans="1:90" s="315" customFormat="1" x14ac:dyDescent="0.15">
      <c r="A3" s="645">
        <v>2016</v>
      </c>
      <c r="B3" s="307"/>
      <c r="C3" s="28"/>
      <c r="D3" s="28"/>
      <c r="E3" s="28"/>
      <c r="F3" s="28"/>
      <c r="G3" s="33"/>
      <c r="H3" s="308"/>
      <c r="I3" s="309"/>
      <c r="J3" s="309"/>
      <c r="K3" s="33"/>
      <c r="L3" s="304"/>
      <c r="M3" s="30"/>
      <c r="N3" s="28"/>
      <c r="O3" s="33"/>
      <c r="P3" s="312"/>
      <c r="Q3" s="313"/>
      <c r="R3" s="30"/>
      <c r="S3" s="33"/>
      <c r="T3" s="314" t="s">
        <v>3824</v>
      </c>
      <c r="W3" s="31"/>
      <c r="AY3" s="316"/>
      <c r="AZ3" s="317"/>
      <c r="CH3" s="318"/>
    </row>
    <row r="4" spans="1:90" s="315" customFormat="1" x14ac:dyDescent="0.15">
      <c r="A4" s="645"/>
      <c r="B4" s="307"/>
      <c r="C4" s="28"/>
      <c r="D4" s="28"/>
      <c r="E4" s="28"/>
      <c r="F4" s="28"/>
      <c r="G4" s="33"/>
      <c r="H4" s="308"/>
      <c r="I4" s="329" t="s">
        <v>64</v>
      </c>
      <c r="J4" s="309"/>
      <c r="K4" s="33"/>
      <c r="L4" s="304"/>
      <c r="M4" s="30"/>
      <c r="N4" s="28"/>
      <c r="O4" s="33"/>
      <c r="P4" s="312"/>
      <c r="Q4" s="30"/>
      <c r="R4" s="30"/>
      <c r="S4" s="33"/>
      <c r="T4" s="314"/>
      <c r="W4" s="31"/>
      <c r="AY4" s="316"/>
      <c r="AZ4" s="317"/>
      <c r="CH4" s="318"/>
    </row>
    <row r="5" spans="1:90" s="47" customFormat="1" ht="46" thickBot="1" x14ac:dyDescent="0.2">
      <c r="A5" s="219" t="s">
        <v>73</v>
      </c>
      <c r="B5" s="220" t="s">
        <v>549</v>
      </c>
      <c r="C5" s="39" t="s">
        <v>827</v>
      </c>
      <c r="D5" s="39" t="s">
        <v>795</v>
      </c>
      <c r="E5" s="39" t="s">
        <v>794</v>
      </c>
      <c r="F5" s="39" t="s">
        <v>550</v>
      </c>
      <c r="G5" s="40" t="s">
        <v>551</v>
      </c>
      <c r="H5" s="41" t="s">
        <v>487</v>
      </c>
      <c r="I5" s="221" t="s">
        <v>1359</v>
      </c>
      <c r="J5" s="41" t="s">
        <v>959</v>
      </c>
      <c r="K5" s="42" t="s">
        <v>615</v>
      </c>
      <c r="L5" s="43" t="s">
        <v>1502</v>
      </c>
      <c r="M5" s="44" t="s">
        <v>488</v>
      </c>
      <c r="N5" s="39" t="s">
        <v>936</v>
      </c>
      <c r="O5" s="40" t="s">
        <v>489</v>
      </c>
      <c r="P5" s="45" t="s">
        <v>785</v>
      </c>
      <c r="Q5" s="46" t="s">
        <v>1473</v>
      </c>
      <c r="R5" s="44" t="s">
        <v>503</v>
      </c>
      <c r="S5" s="40" t="s">
        <v>717</v>
      </c>
      <c r="T5" s="222" t="s">
        <v>669</v>
      </c>
      <c r="W5" s="223"/>
      <c r="AY5" s="224" t="s">
        <v>40</v>
      </c>
      <c r="AZ5" s="225"/>
      <c r="CH5" s="48"/>
    </row>
    <row r="6" spans="1:90" s="469" customFormat="1" ht="12" customHeight="1" thickTop="1" x14ac:dyDescent="0.15">
      <c r="A6" s="471" t="s">
        <v>3362</v>
      </c>
      <c r="B6" s="472">
        <v>42370</v>
      </c>
      <c r="C6" s="471" t="s">
        <v>2521</v>
      </c>
      <c r="D6" s="471" t="s">
        <v>3098</v>
      </c>
      <c r="E6" s="471" t="s">
        <v>3188</v>
      </c>
      <c r="F6" s="471" t="s">
        <v>3644</v>
      </c>
      <c r="G6" s="473">
        <v>9</v>
      </c>
      <c r="H6" s="474">
        <v>8</v>
      </c>
      <c r="I6" s="475"/>
      <c r="J6" s="475"/>
      <c r="K6" s="473">
        <v>17</v>
      </c>
      <c r="L6" s="485" t="s">
        <v>431</v>
      </c>
      <c r="M6" s="476">
        <v>16320</v>
      </c>
      <c r="N6" s="471" t="s">
        <v>3381</v>
      </c>
      <c r="O6" s="477" t="s">
        <v>431</v>
      </c>
      <c r="P6" s="478" t="s">
        <v>431</v>
      </c>
      <c r="Q6" s="479" t="s">
        <v>431</v>
      </c>
      <c r="R6" s="480" t="s">
        <v>431</v>
      </c>
      <c r="S6" s="477" t="s">
        <v>625</v>
      </c>
      <c r="T6" s="481" t="s">
        <v>3668</v>
      </c>
      <c r="U6" s="482"/>
      <c r="V6" s="482"/>
      <c r="W6" s="483"/>
      <c r="X6" s="482"/>
      <c r="Y6" s="482"/>
      <c r="Z6" s="482"/>
      <c r="AA6" s="482"/>
      <c r="AB6" s="482"/>
      <c r="AC6" s="482"/>
      <c r="AD6" s="482"/>
      <c r="AE6" s="482"/>
      <c r="AF6" s="482"/>
      <c r="AG6" s="482"/>
      <c r="AH6" s="482"/>
      <c r="AI6" s="482"/>
      <c r="AJ6" s="482"/>
      <c r="AK6" s="482"/>
      <c r="AL6" s="482"/>
      <c r="AM6" s="482"/>
      <c r="AN6" s="482"/>
      <c r="AO6" s="482"/>
      <c r="AP6" s="482"/>
      <c r="AQ6" s="482"/>
      <c r="AR6" s="482"/>
      <c r="AS6" s="482"/>
      <c r="AT6" s="482"/>
      <c r="AU6" s="482"/>
      <c r="AV6" s="482"/>
      <c r="AW6" s="482"/>
      <c r="AX6" s="482"/>
      <c r="AY6" s="486" t="str">
        <f t="shared" ref="AY6:AY69" si="0">IF(S6="","",R6)</f>
        <v>--</v>
      </c>
      <c r="AZ6" s="487" t="str">
        <f t="shared" ref="AZ6:AZ37" si="1">IF(F6="Pleasant Meadows","",IF(L6="","",IF(O6="--","",IF(O6=1,1,""))))</f>
        <v/>
      </c>
      <c r="BA6" s="482"/>
      <c r="BB6" s="482"/>
      <c r="BC6" s="482"/>
      <c r="BD6" s="482"/>
      <c r="BE6" s="482"/>
      <c r="BF6" s="482"/>
      <c r="BG6" s="482"/>
      <c r="BH6" s="482"/>
      <c r="BI6" s="482"/>
      <c r="BJ6" s="482"/>
      <c r="BK6" s="482"/>
      <c r="BL6" s="482"/>
      <c r="BM6" s="482"/>
      <c r="BN6" s="482"/>
      <c r="BO6" s="482"/>
      <c r="BP6" s="482"/>
      <c r="BQ6" s="482"/>
      <c r="BR6" s="482"/>
      <c r="BS6" s="482"/>
      <c r="BT6" s="482"/>
      <c r="BU6" s="482"/>
      <c r="BV6" s="482"/>
      <c r="BW6" s="482"/>
      <c r="BX6" s="482"/>
      <c r="BY6" s="482"/>
      <c r="BZ6" s="482"/>
      <c r="CA6" s="482"/>
      <c r="CB6" s="482"/>
      <c r="CC6" s="482"/>
      <c r="CD6" s="482"/>
      <c r="CE6" s="482"/>
      <c r="CF6" s="482"/>
      <c r="CG6" s="482"/>
      <c r="CH6" s="484"/>
    </row>
    <row r="7" spans="1:90" s="469" customFormat="1" ht="12" customHeight="1" x14ac:dyDescent="0.15">
      <c r="A7" s="471" t="s">
        <v>2467</v>
      </c>
      <c r="B7" s="472">
        <v>42370</v>
      </c>
      <c r="C7" s="471" t="s">
        <v>3186</v>
      </c>
      <c r="D7" s="471" t="s">
        <v>5144</v>
      </c>
      <c r="E7" s="471" t="s">
        <v>3228</v>
      </c>
      <c r="F7" s="471" t="s">
        <v>525</v>
      </c>
      <c r="G7" s="473">
        <v>4</v>
      </c>
      <c r="H7" s="474">
        <v>8</v>
      </c>
      <c r="I7" s="475"/>
      <c r="J7" s="475"/>
      <c r="K7" s="473">
        <v>10</v>
      </c>
      <c r="L7" s="458">
        <v>20</v>
      </c>
      <c r="M7" s="476">
        <v>31000</v>
      </c>
      <c r="N7" s="471" t="s">
        <v>3651</v>
      </c>
      <c r="O7" s="477" t="s">
        <v>431</v>
      </c>
      <c r="P7" s="478" t="s">
        <v>431</v>
      </c>
      <c r="Q7" s="479" t="s">
        <v>431</v>
      </c>
      <c r="R7" s="480" t="s">
        <v>431</v>
      </c>
      <c r="S7" s="477"/>
      <c r="T7" s="481" t="s">
        <v>3667</v>
      </c>
      <c r="U7" s="482"/>
      <c r="V7" s="482"/>
      <c r="W7" s="483"/>
      <c r="X7" s="482"/>
      <c r="Y7" s="482"/>
      <c r="Z7" s="482"/>
      <c r="AA7" s="482"/>
      <c r="AB7" s="482"/>
      <c r="AC7" s="482"/>
      <c r="AD7" s="482"/>
      <c r="AE7" s="482"/>
      <c r="AF7" s="482"/>
      <c r="AG7" s="482"/>
      <c r="AH7" s="482"/>
      <c r="AI7" s="482"/>
      <c r="AJ7" s="482"/>
      <c r="AK7" s="482"/>
      <c r="AL7" s="482"/>
      <c r="AM7" s="482"/>
      <c r="AN7" s="482"/>
      <c r="AO7" s="482"/>
      <c r="AP7" s="482"/>
      <c r="AQ7" s="482"/>
      <c r="AR7" s="482"/>
      <c r="AS7" s="482"/>
      <c r="AT7" s="482"/>
      <c r="AU7" s="482"/>
      <c r="AV7" s="482"/>
      <c r="AW7" s="482"/>
      <c r="AX7" s="482"/>
      <c r="AY7" s="486" t="str">
        <f t="shared" si="0"/>
        <v/>
      </c>
      <c r="AZ7" s="487" t="str">
        <f t="shared" si="1"/>
        <v/>
      </c>
      <c r="BA7" s="482"/>
      <c r="BB7" s="482"/>
      <c r="BC7" s="482"/>
      <c r="BD7" s="482"/>
      <c r="BE7" s="482"/>
      <c r="BF7" s="482"/>
      <c r="BG7" s="482"/>
      <c r="BH7" s="482"/>
      <c r="BI7" s="482"/>
      <c r="BJ7" s="482"/>
      <c r="BK7" s="482"/>
      <c r="BL7" s="482"/>
      <c r="BM7" s="482"/>
      <c r="BN7" s="482"/>
      <c r="BO7" s="482"/>
      <c r="BP7" s="482"/>
      <c r="BQ7" s="482"/>
      <c r="BR7" s="482"/>
      <c r="BS7" s="482"/>
      <c r="BT7" s="482"/>
      <c r="BU7" s="482"/>
      <c r="BV7" s="482"/>
      <c r="BW7" s="482"/>
      <c r="BX7" s="482"/>
      <c r="BY7" s="482"/>
      <c r="BZ7" s="482"/>
      <c r="CA7" s="482"/>
      <c r="CB7" s="482"/>
      <c r="CC7" s="482"/>
      <c r="CD7" s="482"/>
      <c r="CE7" s="482"/>
      <c r="CF7" s="482"/>
      <c r="CG7" s="482"/>
      <c r="CH7" s="484"/>
    </row>
    <row r="8" spans="1:90" s="461" customFormat="1" ht="12" customHeight="1" x14ac:dyDescent="0.15">
      <c r="A8" s="522" t="s">
        <v>367</v>
      </c>
      <c r="B8" s="467">
        <v>42370</v>
      </c>
      <c r="C8" s="468" t="s">
        <v>3187</v>
      </c>
      <c r="D8" s="468" t="s">
        <v>3278</v>
      </c>
      <c r="E8" s="468" t="s">
        <v>3280</v>
      </c>
      <c r="F8" s="468" t="s">
        <v>788</v>
      </c>
      <c r="G8" s="466">
        <v>6</v>
      </c>
      <c r="H8" s="465">
        <v>8.5</v>
      </c>
      <c r="I8" s="466"/>
      <c r="J8" s="466"/>
      <c r="K8" s="466">
        <v>8</v>
      </c>
      <c r="L8" s="506">
        <v>10</v>
      </c>
      <c r="M8" s="463">
        <v>23000</v>
      </c>
      <c r="N8" s="457" t="s">
        <v>3267</v>
      </c>
      <c r="O8" s="466">
        <v>6</v>
      </c>
      <c r="P8" s="523">
        <v>-7.25</v>
      </c>
      <c r="Q8" s="462">
        <v>1.2402777777777779E-3</v>
      </c>
      <c r="R8" s="463">
        <v>460</v>
      </c>
      <c r="S8" s="466"/>
      <c r="T8" s="524"/>
      <c r="W8" s="460"/>
      <c r="AY8" s="486" t="str">
        <f t="shared" si="0"/>
        <v/>
      </c>
      <c r="AZ8" s="487" t="str">
        <f t="shared" si="1"/>
        <v/>
      </c>
      <c r="CH8" s="459"/>
    </row>
    <row r="9" spans="1:90" s="461" customFormat="1" ht="12" customHeight="1" x14ac:dyDescent="0.15">
      <c r="A9" s="522" t="s">
        <v>2172</v>
      </c>
      <c r="B9" s="467">
        <v>42370</v>
      </c>
      <c r="C9" s="468" t="s">
        <v>3707</v>
      </c>
      <c r="D9" s="468" t="s">
        <v>3708</v>
      </c>
      <c r="E9" s="468" t="s">
        <v>3706</v>
      </c>
      <c r="F9" s="468" t="s">
        <v>4077</v>
      </c>
      <c r="G9" s="466">
        <v>10</v>
      </c>
      <c r="H9" s="465">
        <v>6</v>
      </c>
      <c r="I9" s="466"/>
      <c r="J9" s="466"/>
      <c r="K9" s="466">
        <v>11</v>
      </c>
      <c r="L9" s="506">
        <f>9/2</f>
        <v>4.5</v>
      </c>
      <c r="M9" s="463">
        <v>10500</v>
      </c>
      <c r="N9" s="457" t="s">
        <v>3225</v>
      </c>
      <c r="O9" s="466">
        <v>3</v>
      </c>
      <c r="P9" s="523">
        <v>-15</v>
      </c>
      <c r="Q9" s="462">
        <v>8.449074074074075E-4</v>
      </c>
      <c r="R9" s="463">
        <f>1050</f>
        <v>1050</v>
      </c>
      <c r="S9" s="466"/>
      <c r="T9" s="524"/>
      <c r="W9" s="460"/>
      <c r="AY9" s="486" t="str">
        <f t="shared" si="0"/>
        <v/>
      </c>
      <c r="AZ9" s="487" t="str">
        <f t="shared" si="1"/>
        <v/>
      </c>
      <c r="CH9" s="459"/>
    </row>
    <row r="10" spans="1:90" s="469" customFormat="1" ht="12" customHeight="1" x14ac:dyDescent="0.15">
      <c r="A10" s="444" t="s">
        <v>2355</v>
      </c>
      <c r="B10" s="445">
        <v>42370</v>
      </c>
      <c r="C10" s="446" t="s">
        <v>3453</v>
      </c>
      <c r="D10" s="446" t="s">
        <v>1623</v>
      </c>
      <c r="E10" s="446" t="s">
        <v>3656</v>
      </c>
      <c r="F10" s="446" t="s">
        <v>540</v>
      </c>
      <c r="G10" s="447">
        <v>8</v>
      </c>
      <c r="H10" s="448">
        <v>6</v>
      </c>
      <c r="I10" s="447"/>
      <c r="J10" s="447"/>
      <c r="K10" s="447">
        <v>10</v>
      </c>
      <c r="L10" s="449">
        <v>6</v>
      </c>
      <c r="M10" s="450">
        <v>28000</v>
      </c>
      <c r="N10" s="446" t="s">
        <v>3657</v>
      </c>
      <c r="O10" s="447">
        <v>1</v>
      </c>
      <c r="P10" s="451">
        <v>2</v>
      </c>
      <c r="Q10" s="452">
        <v>8.1122685185185171E-4</v>
      </c>
      <c r="R10" s="450">
        <v>14400</v>
      </c>
      <c r="S10" s="447"/>
      <c r="T10" s="453"/>
      <c r="U10" s="454"/>
      <c r="V10" s="454"/>
      <c r="W10" s="455"/>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86" t="str">
        <f t="shared" si="0"/>
        <v/>
      </c>
      <c r="AZ10" s="487">
        <f t="shared" si="1"/>
        <v>1</v>
      </c>
      <c r="BA10" s="454"/>
      <c r="BB10" s="454"/>
      <c r="BC10" s="454"/>
      <c r="BD10" s="454"/>
      <c r="BE10" s="454"/>
      <c r="BF10" s="454"/>
      <c r="BG10" s="454"/>
      <c r="BH10" s="454"/>
      <c r="BI10" s="454"/>
      <c r="BJ10" s="454"/>
      <c r="BK10" s="454"/>
      <c r="BL10" s="454"/>
      <c r="BM10" s="454"/>
      <c r="BN10" s="454"/>
      <c r="BO10" s="454"/>
      <c r="BP10" s="454"/>
      <c r="BQ10" s="454"/>
      <c r="BR10" s="454"/>
      <c r="BS10" s="454"/>
      <c r="BT10" s="454"/>
      <c r="BU10" s="454"/>
      <c r="BV10" s="454"/>
      <c r="BW10" s="454"/>
      <c r="BX10" s="454"/>
      <c r="BY10" s="454"/>
      <c r="BZ10" s="454"/>
      <c r="CA10" s="454"/>
      <c r="CB10" s="454"/>
      <c r="CC10" s="454"/>
      <c r="CD10" s="454"/>
      <c r="CE10" s="454"/>
      <c r="CF10" s="454"/>
      <c r="CG10" s="454"/>
      <c r="CH10" s="456"/>
      <c r="CI10" s="454"/>
      <c r="CJ10" s="454"/>
      <c r="CK10" s="454"/>
      <c r="CL10" s="454"/>
    </row>
    <row r="11" spans="1:90" s="461" customFormat="1" ht="12" customHeight="1" x14ac:dyDescent="0.15">
      <c r="A11" s="522" t="s">
        <v>21</v>
      </c>
      <c r="B11" s="467">
        <v>42370</v>
      </c>
      <c r="C11" s="468" t="s">
        <v>3334</v>
      </c>
      <c r="D11" s="468" t="s">
        <v>3335</v>
      </c>
      <c r="E11" s="468" t="s">
        <v>3620</v>
      </c>
      <c r="F11" s="468" t="s">
        <v>595</v>
      </c>
      <c r="G11" s="466">
        <v>8</v>
      </c>
      <c r="H11" s="465">
        <v>8</v>
      </c>
      <c r="I11" s="466" t="s">
        <v>959</v>
      </c>
      <c r="J11" s="466" t="s">
        <v>961</v>
      </c>
      <c r="K11" s="466">
        <v>6</v>
      </c>
      <c r="L11" s="506">
        <v>12</v>
      </c>
      <c r="M11" s="463">
        <v>38000</v>
      </c>
      <c r="N11" s="457" t="s">
        <v>2230</v>
      </c>
      <c r="O11" s="466">
        <v>2</v>
      </c>
      <c r="P11" s="523">
        <v>-2</v>
      </c>
      <c r="Q11" s="462">
        <v>1.1666666666666668E-3</v>
      </c>
      <c r="R11" s="463">
        <v>7600</v>
      </c>
      <c r="S11" s="466"/>
      <c r="T11" s="524" t="s">
        <v>3675</v>
      </c>
      <c r="W11" s="460"/>
      <c r="AY11" s="486" t="str">
        <f t="shared" si="0"/>
        <v/>
      </c>
      <c r="AZ11" s="487" t="str">
        <f t="shared" si="1"/>
        <v/>
      </c>
      <c r="CH11" s="459"/>
    </row>
    <row r="12" spans="1:90" s="461" customFormat="1" ht="12" customHeight="1" x14ac:dyDescent="0.15">
      <c r="A12" s="522" t="s">
        <v>3470</v>
      </c>
      <c r="B12" s="467">
        <v>42371</v>
      </c>
      <c r="C12" s="468" t="s">
        <v>3471</v>
      </c>
      <c r="D12" s="468" t="s">
        <v>3472</v>
      </c>
      <c r="E12" s="468" t="s">
        <v>3683</v>
      </c>
      <c r="F12" s="468" t="s">
        <v>3685</v>
      </c>
      <c r="G12" s="466">
        <v>3</v>
      </c>
      <c r="H12" s="465">
        <v>5.5</v>
      </c>
      <c r="I12" s="466"/>
      <c r="J12" s="466"/>
      <c r="K12" s="466">
        <v>9</v>
      </c>
      <c r="L12" s="464" t="s">
        <v>431</v>
      </c>
      <c r="M12" s="463">
        <v>3271</v>
      </c>
      <c r="N12" s="457" t="s">
        <v>3348</v>
      </c>
      <c r="O12" s="466">
        <v>2</v>
      </c>
      <c r="P12" s="523">
        <v>-2</v>
      </c>
      <c r="Q12" s="462">
        <v>7.765046296296297E-4</v>
      </c>
      <c r="R12" s="463">
        <v>756</v>
      </c>
      <c r="S12" s="466" t="s">
        <v>625</v>
      </c>
      <c r="T12" s="524"/>
      <c r="W12" s="460"/>
      <c r="AY12" s="486">
        <f t="shared" si="0"/>
        <v>756</v>
      </c>
      <c r="AZ12" s="487" t="str">
        <f t="shared" si="1"/>
        <v/>
      </c>
      <c r="CH12" s="459"/>
    </row>
    <row r="13" spans="1:90" s="469" customFormat="1" ht="12" customHeight="1" x14ac:dyDescent="0.15">
      <c r="A13" s="471" t="s">
        <v>3669</v>
      </c>
      <c r="B13" s="472">
        <v>42371</v>
      </c>
      <c r="C13" s="471" t="s">
        <v>3654</v>
      </c>
      <c r="D13" s="471" t="s">
        <v>3298</v>
      </c>
      <c r="E13" s="471" t="s">
        <v>1310</v>
      </c>
      <c r="F13" s="471" t="s">
        <v>3237</v>
      </c>
      <c r="G13" s="473">
        <v>4</v>
      </c>
      <c r="H13" s="474">
        <v>6</v>
      </c>
      <c r="I13" s="475"/>
      <c r="J13" s="475"/>
      <c r="K13" s="473">
        <v>8</v>
      </c>
      <c r="L13" s="485" t="s">
        <v>431</v>
      </c>
      <c r="M13" s="476">
        <v>3596</v>
      </c>
      <c r="N13" s="471" t="s">
        <v>3348</v>
      </c>
      <c r="O13" s="477" t="s">
        <v>431</v>
      </c>
      <c r="P13" s="478" t="s">
        <v>431</v>
      </c>
      <c r="Q13" s="479" t="s">
        <v>431</v>
      </c>
      <c r="R13" s="480" t="s">
        <v>431</v>
      </c>
      <c r="S13" s="477" t="s">
        <v>625</v>
      </c>
      <c r="T13" s="481" t="s">
        <v>3670</v>
      </c>
      <c r="U13" s="482"/>
      <c r="V13" s="482"/>
      <c r="W13" s="483"/>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2"/>
      <c r="AU13" s="482"/>
      <c r="AV13" s="482"/>
      <c r="AW13" s="482"/>
      <c r="AX13" s="482"/>
      <c r="AY13" s="486" t="str">
        <f t="shared" si="0"/>
        <v>--</v>
      </c>
      <c r="AZ13" s="487" t="str">
        <f t="shared" si="1"/>
        <v/>
      </c>
      <c r="BA13" s="482"/>
      <c r="BB13" s="482"/>
      <c r="BC13" s="482"/>
      <c r="BD13" s="482"/>
      <c r="BE13" s="482"/>
      <c r="BF13" s="482"/>
      <c r="BG13" s="482"/>
      <c r="BH13" s="482"/>
      <c r="BI13" s="482"/>
      <c r="BJ13" s="482"/>
      <c r="BK13" s="482"/>
      <c r="BL13" s="482"/>
      <c r="BM13" s="482"/>
      <c r="BN13" s="482"/>
      <c r="BO13" s="482"/>
      <c r="BP13" s="482"/>
      <c r="BQ13" s="482"/>
      <c r="BR13" s="482"/>
      <c r="BS13" s="482"/>
      <c r="BT13" s="482"/>
      <c r="BU13" s="482"/>
      <c r="BV13" s="482"/>
      <c r="BW13" s="482"/>
      <c r="BX13" s="482"/>
      <c r="BY13" s="482"/>
      <c r="BZ13" s="482"/>
      <c r="CA13" s="482"/>
      <c r="CB13" s="482"/>
      <c r="CC13" s="482"/>
      <c r="CD13" s="482"/>
      <c r="CE13" s="482"/>
      <c r="CF13" s="482"/>
      <c r="CG13" s="482"/>
      <c r="CH13" s="484"/>
    </row>
    <row r="14" spans="1:90" s="469" customFormat="1" ht="12" customHeight="1" x14ac:dyDescent="0.15">
      <c r="A14" s="444" t="s">
        <v>3496</v>
      </c>
      <c r="B14" s="445">
        <v>42371</v>
      </c>
      <c r="C14" s="446" t="s">
        <v>3498</v>
      </c>
      <c r="D14" s="446" t="s">
        <v>3331</v>
      </c>
      <c r="E14" s="446" t="s">
        <v>3684</v>
      </c>
      <c r="F14" s="446" t="s">
        <v>3685</v>
      </c>
      <c r="G14" s="447">
        <v>4</v>
      </c>
      <c r="H14" s="448">
        <v>6</v>
      </c>
      <c r="I14" s="447"/>
      <c r="J14" s="447"/>
      <c r="K14" s="447">
        <v>8</v>
      </c>
      <c r="L14" s="448" t="s">
        <v>431</v>
      </c>
      <c r="M14" s="450">
        <v>3596</v>
      </c>
      <c r="N14" s="446" t="s">
        <v>3348</v>
      </c>
      <c r="O14" s="447">
        <v>1</v>
      </c>
      <c r="P14" s="451">
        <v>4</v>
      </c>
      <c r="Q14" s="452">
        <v>7.7268518518518517E-4</v>
      </c>
      <c r="R14" s="450">
        <v>2160</v>
      </c>
      <c r="S14" s="447" t="s">
        <v>625</v>
      </c>
      <c r="T14" s="453"/>
      <c r="U14" s="454"/>
      <c r="V14" s="454"/>
      <c r="W14" s="455"/>
      <c r="X14" s="454"/>
      <c r="Y14" s="454"/>
      <c r="Z14" s="454"/>
      <c r="AA14" s="454"/>
      <c r="AB14" s="454"/>
      <c r="AC14" s="454"/>
      <c r="AD14" s="454"/>
      <c r="AE14" s="454"/>
      <c r="AF14" s="454"/>
      <c r="AG14" s="454"/>
      <c r="AH14" s="454"/>
      <c r="AI14" s="454"/>
      <c r="AJ14" s="454"/>
      <c r="AK14" s="454"/>
      <c r="AL14" s="454"/>
      <c r="AM14" s="454"/>
      <c r="AN14" s="454"/>
      <c r="AO14" s="454"/>
      <c r="AP14" s="454"/>
      <c r="AQ14" s="454"/>
      <c r="AR14" s="454"/>
      <c r="AS14" s="454"/>
      <c r="AT14" s="454"/>
      <c r="AU14" s="454"/>
      <c r="AV14" s="454"/>
      <c r="AW14" s="454"/>
      <c r="AX14" s="454"/>
      <c r="AY14" s="486">
        <f t="shared" si="0"/>
        <v>2160</v>
      </c>
      <c r="AZ14" s="487">
        <f t="shared" si="1"/>
        <v>1</v>
      </c>
      <c r="BA14" s="454"/>
      <c r="BB14" s="454"/>
      <c r="BC14" s="454"/>
      <c r="BD14" s="454"/>
      <c r="BE14" s="454"/>
      <c r="BF14" s="454"/>
      <c r="BG14" s="454"/>
      <c r="BH14" s="454"/>
      <c r="BI14" s="454"/>
      <c r="BJ14" s="454"/>
      <c r="BK14" s="454"/>
      <c r="BL14" s="454"/>
      <c r="BM14" s="454"/>
      <c r="BN14" s="454"/>
      <c r="BO14" s="454"/>
      <c r="BP14" s="454"/>
      <c r="BQ14" s="454"/>
      <c r="BR14" s="454"/>
      <c r="BS14" s="454"/>
      <c r="BT14" s="454"/>
      <c r="BU14" s="454"/>
      <c r="BV14" s="454"/>
      <c r="BW14" s="454"/>
      <c r="BX14" s="454"/>
      <c r="BY14" s="454"/>
      <c r="BZ14" s="454"/>
      <c r="CA14" s="454"/>
      <c r="CB14" s="454"/>
      <c r="CC14" s="454"/>
      <c r="CD14" s="454"/>
      <c r="CE14" s="454"/>
      <c r="CF14" s="454"/>
      <c r="CG14" s="454"/>
      <c r="CH14" s="456"/>
      <c r="CI14" s="454"/>
      <c r="CJ14" s="454"/>
      <c r="CK14" s="454"/>
      <c r="CL14" s="454"/>
    </row>
    <row r="15" spans="1:90" s="469" customFormat="1" ht="12" customHeight="1" x14ac:dyDescent="0.15">
      <c r="A15" s="444" t="s">
        <v>3310</v>
      </c>
      <c r="B15" s="445">
        <v>42371</v>
      </c>
      <c r="C15" s="446" t="s">
        <v>3311</v>
      </c>
      <c r="D15" s="446" t="s">
        <v>3485</v>
      </c>
      <c r="E15" s="446" t="s">
        <v>3695</v>
      </c>
      <c r="F15" s="446" t="s">
        <v>3685</v>
      </c>
      <c r="G15" s="447">
        <v>10</v>
      </c>
      <c r="H15" s="448">
        <v>8</v>
      </c>
      <c r="I15" s="447"/>
      <c r="J15" s="447"/>
      <c r="K15" s="447">
        <v>12</v>
      </c>
      <c r="L15" s="448" t="s">
        <v>431</v>
      </c>
      <c r="M15" s="450">
        <v>24250</v>
      </c>
      <c r="N15" s="446" t="s">
        <v>3652</v>
      </c>
      <c r="O15" s="447">
        <v>1</v>
      </c>
      <c r="P15" s="451">
        <v>5.25</v>
      </c>
      <c r="Q15" s="452">
        <v>1.0396990740740742E-3</v>
      </c>
      <c r="R15" s="450">
        <v>15941</v>
      </c>
      <c r="S15" s="447" t="s">
        <v>625</v>
      </c>
      <c r="T15" s="453" t="s">
        <v>3687</v>
      </c>
      <c r="U15" s="454"/>
      <c r="V15" s="454"/>
      <c r="W15" s="455"/>
      <c r="X15" s="454"/>
      <c r="Y15" s="454"/>
      <c r="Z15" s="454"/>
      <c r="AA15" s="454"/>
      <c r="AB15" s="454"/>
      <c r="AC15" s="454"/>
      <c r="AD15" s="454"/>
      <c r="AE15" s="454"/>
      <c r="AF15" s="454"/>
      <c r="AG15" s="454"/>
      <c r="AH15" s="454"/>
      <c r="AI15" s="454"/>
      <c r="AJ15" s="454"/>
      <c r="AK15" s="454"/>
      <c r="AL15" s="454"/>
      <c r="AM15" s="454"/>
      <c r="AN15" s="454"/>
      <c r="AO15" s="454"/>
      <c r="AP15" s="454"/>
      <c r="AQ15" s="454"/>
      <c r="AR15" s="454"/>
      <c r="AS15" s="454"/>
      <c r="AT15" s="454"/>
      <c r="AU15" s="454"/>
      <c r="AV15" s="454"/>
      <c r="AW15" s="454"/>
      <c r="AX15" s="454"/>
      <c r="AY15" s="486">
        <f t="shared" si="0"/>
        <v>15941</v>
      </c>
      <c r="AZ15" s="487">
        <f t="shared" si="1"/>
        <v>1</v>
      </c>
      <c r="BA15" s="454"/>
      <c r="BB15" s="454"/>
      <c r="BC15" s="454"/>
      <c r="BD15" s="454"/>
      <c r="BE15" s="454"/>
      <c r="BF15" s="454"/>
      <c r="BG15" s="454"/>
      <c r="BH15" s="454"/>
      <c r="BI15" s="454"/>
      <c r="BJ15" s="454"/>
      <c r="BK15" s="454"/>
      <c r="BL15" s="454"/>
      <c r="BM15" s="454"/>
      <c r="BN15" s="454"/>
      <c r="BO15" s="454"/>
      <c r="BP15" s="454"/>
      <c r="BQ15" s="454"/>
      <c r="BR15" s="454"/>
      <c r="BS15" s="454"/>
      <c r="BT15" s="454"/>
      <c r="BU15" s="454"/>
      <c r="BV15" s="454"/>
      <c r="BW15" s="454"/>
      <c r="BX15" s="454"/>
      <c r="BY15" s="454"/>
      <c r="BZ15" s="454"/>
      <c r="CA15" s="454"/>
      <c r="CB15" s="454"/>
      <c r="CC15" s="454"/>
      <c r="CD15" s="454"/>
      <c r="CE15" s="454"/>
      <c r="CF15" s="454"/>
      <c r="CG15" s="454"/>
      <c r="CH15" s="456"/>
      <c r="CI15" s="454"/>
      <c r="CJ15" s="454"/>
      <c r="CK15" s="454"/>
      <c r="CL15" s="454"/>
    </row>
    <row r="16" spans="1:90" s="461" customFormat="1" ht="12" customHeight="1" x14ac:dyDescent="0.15">
      <c r="A16" s="522" t="s">
        <v>1529</v>
      </c>
      <c r="B16" s="467">
        <v>42372</v>
      </c>
      <c r="C16" s="468" t="s">
        <v>3617</v>
      </c>
      <c r="D16" s="468" t="s">
        <v>3618</v>
      </c>
      <c r="E16" s="468" t="s">
        <v>3671</v>
      </c>
      <c r="F16" s="468" t="s">
        <v>525</v>
      </c>
      <c r="G16" s="466">
        <v>1</v>
      </c>
      <c r="H16" s="465">
        <v>8</v>
      </c>
      <c r="I16" s="466"/>
      <c r="J16" s="466"/>
      <c r="K16" s="466">
        <v>4</v>
      </c>
      <c r="L16" s="525">
        <v>6</v>
      </c>
      <c r="M16" s="463">
        <v>47000</v>
      </c>
      <c r="N16" s="468" t="s">
        <v>3768</v>
      </c>
      <c r="O16" s="466">
        <v>2</v>
      </c>
      <c r="P16" s="523">
        <v>-5.5</v>
      </c>
      <c r="Q16" s="462">
        <v>1.133912037037037E-3</v>
      </c>
      <c r="R16" s="463">
        <v>9400</v>
      </c>
      <c r="S16" s="466"/>
      <c r="T16" s="524"/>
      <c r="W16" s="460"/>
      <c r="AY16" s="486" t="str">
        <f t="shared" si="0"/>
        <v/>
      </c>
      <c r="AZ16" s="487" t="str">
        <f t="shared" si="1"/>
        <v/>
      </c>
      <c r="CH16" s="459"/>
    </row>
    <row r="17" spans="1:90" s="461" customFormat="1" ht="12" customHeight="1" x14ac:dyDescent="0.15">
      <c r="A17" s="522" t="s">
        <v>3204</v>
      </c>
      <c r="B17" s="467">
        <v>42372</v>
      </c>
      <c r="C17" s="468" t="s">
        <v>3633</v>
      </c>
      <c r="D17" s="468" t="s">
        <v>3295</v>
      </c>
      <c r="E17" s="468" t="s">
        <v>3189</v>
      </c>
      <c r="F17" s="468" t="s">
        <v>788</v>
      </c>
      <c r="G17" s="466">
        <v>1</v>
      </c>
      <c r="H17" s="465">
        <v>6</v>
      </c>
      <c r="I17" s="466"/>
      <c r="J17" s="466"/>
      <c r="K17" s="466">
        <v>7</v>
      </c>
      <c r="L17" s="525">
        <v>15</v>
      </c>
      <c r="M17" s="463">
        <v>30000</v>
      </c>
      <c r="N17" s="468" t="s">
        <v>3673</v>
      </c>
      <c r="O17" s="466">
        <v>7</v>
      </c>
      <c r="P17" s="523">
        <v>-5.75</v>
      </c>
      <c r="Q17" s="462">
        <v>7.7025462962962952E-4</v>
      </c>
      <c r="R17" s="463">
        <v>0</v>
      </c>
      <c r="S17" s="466"/>
      <c r="T17" s="524"/>
      <c r="W17" s="460"/>
      <c r="AY17" s="486" t="str">
        <f t="shared" si="0"/>
        <v/>
      </c>
      <c r="AZ17" s="487" t="str">
        <f t="shared" si="1"/>
        <v/>
      </c>
      <c r="CH17" s="459"/>
    </row>
    <row r="18" spans="1:90" s="461" customFormat="1" ht="12" customHeight="1" x14ac:dyDescent="0.15">
      <c r="A18" s="522" t="s">
        <v>2459</v>
      </c>
      <c r="B18" s="467">
        <v>42373</v>
      </c>
      <c r="C18" s="468" t="s">
        <v>3293</v>
      </c>
      <c r="D18" s="468" t="s">
        <v>3294</v>
      </c>
      <c r="E18" s="468" t="s">
        <v>3280</v>
      </c>
      <c r="F18" s="468" t="s">
        <v>788</v>
      </c>
      <c r="G18" s="466">
        <v>8</v>
      </c>
      <c r="H18" s="465">
        <v>8</v>
      </c>
      <c r="I18" s="466"/>
      <c r="J18" s="466"/>
      <c r="K18" s="466">
        <v>8</v>
      </c>
      <c r="L18" s="525">
        <v>6</v>
      </c>
      <c r="M18" s="463">
        <v>42000</v>
      </c>
      <c r="N18" s="468" t="s">
        <v>3672</v>
      </c>
      <c r="O18" s="466">
        <v>3</v>
      </c>
      <c r="P18" s="523">
        <v>-7</v>
      </c>
      <c r="Q18" s="462">
        <v>1.159837962962963E-3</v>
      </c>
      <c r="R18" s="463">
        <v>7266</v>
      </c>
      <c r="S18" s="466"/>
      <c r="T18" s="524"/>
      <c r="W18" s="460"/>
      <c r="AY18" s="486" t="str">
        <f t="shared" si="0"/>
        <v/>
      </c>
      <c r="AZ18" s="487" t="str">
        <f t="shared" si="1"/>
        <v/>
      </c>
      <c r="CH18" s="459"/>
    </row>
    <row r="19" spans="1:90" s="461" customFormat="1" ht="12" customHeight="1" x14ac:dyDescent="0.15">
      <c r="A19" s="522" t="s">
        <v>3327</v>
      </c>
      <c r="B19" s="467">
        <v>42375</v>
      </c>
      <c r="C19" s="468" t="s">
        <v>3330</v>
      </c>
      <c r="D19" s="468" t="s">
        <v>3497</v>
      </c>
      <c r="E19" s="468" t="s">
        <v>3684</v>
      </c>
      <c r="F19" s="468" t="s">
        <v>3686</v>
      </c>
      <c r="G19" s="466">
        <v>2</v>
      </c>
      <c r="H19" s="465">
        <v>5.5</v>
      </c>
      <c r="I19" s="466"/>
      <c r="J19" s="466"/>
      <c r="K19" s="466">
        <v>11</v>
      </c>
      <c r="L19" s="464" t="s">
        <v>431</v>
      </c>
      <c r="M19" s="463">
        <v>5723</v>
      </c>
      <c r="N19" s="457" t="s">
        <v>3653</v>
      </c>
      <c r="O19" s="466">
        <v>9</v>
      </c>
      <c r="P19" s="523">
        <v>-10.25</v>
      </c>
      <c r="Q19" s="462">
        <v>7.7453703703703701E-4</v>
      </c>
      <c r="R19" s="463">
        <v>99</v>
      </c>
      <c r="S19" s="466" t="s">
        <v>625</v>
      </c>
      <c r="T19" s="524"/>
      <c r="W19" s="460"/>
      <c r="AY19" s="486">
        <f t="shared" si="0"/>
        <v>99</v>
      </c>
      <c r="AZ19" s="487" t="str">
        <f t="shared" si="1"/>
        <v/>
      </c>
      <c r="CH19" s="459"/>
    </row>
    <row r="20" spans="1:90" s="469" customFormat="1" ht="12" customHeight="1" x14ac:dyDescent="0.15">
      <c r="A20" s="444" t="s">
        <v>3328</v>
      </c>
      <c r="B20" s="445">
        <v>42375</v>
      </c>
      <c r="C20" s="446" t="s">
        <v>3329</v>
      </c>
      <c r="D20" s="446" t="s">
        <v>3598</v>
      </c>
      <c r="E20" s="446" t="s">
        <v>3698</v>
      </c>
      <c r="F20" s="446" t="s">
        <v>3686</v>
      </c>
      <c r="G20" s="447">
        <v>3</v>
      </c>
      <c r="H20" s="448">
        <v>5.5</v>
      </c>
      <c r="I20" s="447"/>
      <c r="J20" s="447"/>
      <c r="K20" s="447">
        <v>11</v>
      </c>
      <c r="L20" s="448" t="s">
        <v>431</v>
      </c>
      <c r="M20" s="450">
        <v>5723</v>
      </c>
      <c r="N20" s="446" t="s">
        <v>3653</v>
      </c>
      <c r="O20" s="447">
        <v>1</v>
      </c>
      <c r="P20" s="451">
        <v>0.75</v>
      </c>
      <c r="Q20" s="452">
        <v>7.7152777777777777E-4</v>
      </c>
      <c r="R20" s="450">
        <v>3721</v>
      </c>
      <c r="S20" s="447" t="s">
        <v>625</v>
      </c>
      <c r="T20" s="453"/>
      <c r="U20" s="454"/>
      <c r="V20" s="454"/>
      <c r="W20" s="455"/>
      <c r="X20" s="454"/>
      <c r="Y20" s="454"/>
      <c r="Z20" s="454"/>
      <c r="AA20" s="454"/>
      <c r="AB20" s="454"/>
      <c r="AC20" s="454"/>
      <c r="AD20" s="454"/>
      <c r="AE20" s="454"/>
      <c r="AF20" s="454"/>
      <c r="AG20" s="454"/>
      <c r="AH20" s="454"/>
      <c r="AI20" s="454"/>
      <c r="AJ20" s="454"/>
      <c r="AK20" s="454"/>
      <c r="AL20" s="454"/>
      <c r="AM20" s="454"/>
      <c r="AN20" s="454"/>
      <c r="AO20" s="454"/>
      <c r="AP20" s="454"/>
      <c r="AQ20" s="454"/>
      <c r="AR20" s="454"/>
      <c r="AS20" s="454"/>
      <c r="AT20" s="454"/>
      <c r="AU20" s="454"/>
      <c r="AV20" s="454"/>
      <c r="AW20" s="454"/>
      <c r="AX20" s="454"/>
      <c r="AY20" s="486">
        <f t="shared" si="0"/>
        <v>3721</v>
      </c>
      <c r="AZ20" s="487">
        <f t="shared" si="1"/>
        <v>1</v>
      </c>
      <c r="BA20" s="454"/>
      <c r="BB20" s="454"/>
      <c r="BC20" s="454"/>
      <c r="BD20" s="454"/>
      <c r="BE20" s="454"/>
      <c r="BF20" s="454"/>
      <c r="BG20" s="454"/>
      <c r="BH20" s="454"/>
      <c r="BI20" s="454"/>
      <c r="BJ20" s="454"/>
      <c r="BK20" s="454"/>
      <c r="BL20" s="454"/>
      <c r="BM20" s="454"/>
      <c r="BN20" s="454"/>
      <c r="BO20" s="454"/>
      <c r="BP20" s="454"/>
      <c r="BQ20" s="454"/>
      <c r="BR20" s="454"/>
      <c r="BS20" s="454"/>
      <c r="BT20" s="454"/>
      <c r="BU20" s="454"/>
      <c r="BV20" s="454"/>
      <c r="BW20" s="454"/>
      <c r="BX20" s="454"/>
      <c r="BY20" s="454"/>
      <c r="BZ20" s="454"/>
      <c r="CA20" s="454"/>
      <c r="CB20" s="454"/>
      <c r="CC20" s="454"/>
      <c r="CD20" s="454"/>
      <c r="CE20" s="454"/>
      <c r="CF20" s="454"/>
      <c r="CG20" s="454"/>
      <c r="CH20" s="456"/>
      <c r="CI20" s="454"/>
      <c r="CJ20" s="454"/>
      <c r="CK20" s="454"/>
      <c r="CL20" s="454"/>
    </row>
    <row r="21" spans="1:90" s="461" customFormat="1" ht="12" customHeight="1" x14ac:dyDescent="0.15">
      <c r="A21" s="522" t="s">
        <v>3455</v>
      </c>
      <c r="B21" s="467">
        <v>42375</v>
      </c>
      <c r="C21" s="468" t="s">
        <v>3456</v>
      </c>
      <c r="D21" s="468" t="s">
        <v>3457</v>
      </c>
      <c r="E21" s="468" t="s">
        <v>3699</v>
      </c>
      <c r="F21" s="468" t="s">
        <v>3686</v>
      </c>
      <c r="G21" s="466">
        <v>6</v>
      </c>
      <c r="H21" s="465">
        <v>6</v>
      </c>
      <c r="I21" s="466"/>
      <c r="J21" s="466"/>
      <c r="K21" s="466">
        <v>11</v>
      </c>
      <c r="L21" s="464" t="s">
        <v>431</v>
      </c>
      <c r="M21" s="463">
        <v>5723</v>
      </c>
      <c r="N21" s="457" t="s">
        <v>3653</v>
      </c>
      <c r="O21" s="466">
        <v>6</v>
      </c>
      <c r="P21" s="523">
        <v>-9.5</v>
      </c>
      <c r="Q21" s="462">
        <v>8.4398148148148158E-4</v>
      </c>
      <c r="R21" s="463">
        <v>99</v>
      </c>
      <c r="S21" s="466" t="s">
        <v>625</v>
      </c>
      <c r="T21" s="524"/>
      <c r="W21" s="460"/>
      <c r="AY21" s="486">
        <f t="shared" si="0"/>
        <v>99</v>
      </c>
      <c r="AZ21" s="487" t="str">
        <f t="shared" si="1"/>
        <v/>
      </c>
      <c r="CH21" s="459"/>
    </row>
    <row r="22" spans="1:90" s="461" customFormat="1" ht="12" customHeight="1" x14ac:dyDescent="0.15">
      <c r="A22" s="522" t="s">
        <v>3594</v>
      </c>
      <c r="B22" s="467">
        <v>42375</v>
      </c>
      <c r="C22" s="468" t="s">
        <v>3595</v>
      </c>
      <c r="D22" s="468" t="s">
        <v>3472</v>
      </c>
      <c r="E22" s="468" t="s">
        <v>3683</v>
      </c>
      <c r="F22" s="468" t="s">
        <v>3686</v>
      </c>
      <c r="G22" s="466">
        <v>10</v>
      </c>
      <c r="H22" s="465">
        <v>5.5</v>
      </c>
      <c r="I22" s="466"/>
      <c r="J22" s="466"/>
      <c r="K22" s="466">
        <v>10</v>
      </c>
      <c r="L22" s="464" t="s">
        <v>431</v>
      </c>
      <c r="M22" s="463">
        <v>5723</v>
      </c>
      <c r="N22" s="457" t="s">
        <v>3653</v>
      </c>
      <c r="O22" s="466">
        <v>4</v>
      </c>
      <c r="P22" s="523">
        <v>-7.75</v>
      </c>
      <c r="Q22" s="462">
        <v>8.4641203703703712E-4</v>
      </c>
      <c r="R22" s="463">
        <v>372</v>
      </c>
      <c r="S22" s="466" t="s">
        <v>625</v>
      </c>
      <c r="T22" s="524"/>
      <c r="W22" s="460"/>
      <c r="AY22" s="486">
        <f t="shared" si="0"/>
        <v>372</v>
      </c>
      <c r="AZ22" s="487" t="str">
        <f t="shared" si="1"/>
        <v/>
      </c>
      <c r="CH22" s="459"/>
    </row>
    <row r="23" spans="1:90" s="469" customFormat="1" ht="12" customHeight="1" x14ac:dyDescent="0.15">
      <c r="A23" s="471" t="s">
        <v>3741</v>
      </c>
      <c r="B23" s="472">
        <v>42375</v>
      </c>
      <c r="C23" s="471" t="s">
        <v>2744</v>
      </c>
      <c r="D23" s="471" t="s">
        <v>3298</v>
      </c>
      <c r="E23" s="471" t="s">
        <v>3699</v>
      </c>
      <c r="F23" s="471" t="s">
        <v>3686</v>
      </c>
      <c r="G23" s="473">
        <v>10</v>
      </c>
      <c r="H23" s="474">
        <v>5.5</v>
      </c>
      <c r="I23" s="475"/>
      <c r="J23" s="475"/>
      <c r="K23" s="473">
        <v>10</v>
      </c>
      <c r="L23" s="485" t="s">
        <v>431</v>
      </c>
      <c r="M23" s="476">
        <v>5723</v>
      </c>
      <c r="N23" s="471" t="s">
        <v>3348</v>
      </c>
      <c r="O23" s="477" t="s">
        <v>431</v>
      </c>
      <c r="P23" s="478" t="s">
        <v>431</v>
      </c>
      <c r="Q23" s="479" t="s">
        <v>431</v>
      </c>
      <c r="R23" s="480" t="s">
        <v>431</v>
      </c>
      <c r="S23" s="477" t="s">
        <v>625</v>
      </c>
      <c r="T23" s="481" t="s">
        <v>3740</v>
      </c>
      <c r="U23" s="482"/>
      <c r="V23" s="482"/>
      <c r="W23" s="483"/>
      <c r="X23" s="482"/>
      <c r="Y23" s="482"/>
      <c r="Z23" s="482"/>
      <c r="AA23" s="482"/>
      <c r="AB23" s="482"/>
      <c r="AC23" s="482"/>
      <c r="AD23" s="482"/>
      <c r="AE23" s="482"/>
      <c r="AF23" s="482"/>
      <c r="AG23" s="482"/>
      <c r="AH23" s="482"/>
      <c r="AI23" s="482"/>
      <c r="AJ23" s="482"/>
      <c r="AK23" s="482"/>
      <c r="AL23" s="482"/>
      <c r="AM23" s="482"/>
      <c r="AN23" s="482"/>
      <c r="AO23" s="482"/>
      <c r="AP23" s="482"/>
      <c r="AQ23" s="482"/>
      <c r="AR23" s="482"/>
      <c r="AS23" s="482"/>
      <c r="AT23" s="482"/>
      <c r="AU23" s="482"/>
      <c r="AV23" s="482"/>
      <c r="AW23" s="482"/>
      <c r="AX23" s="482"/>
      <c r="AY23" s="486" t="str">
        <f t="shared" si="0"/>
        <v>--</v>
      </c>
      <c r="AZ23" s="487" t="str">
        <f t="shared" si="1"/>
        <v/>
      </c>
      <c r="BA23" s="482"/>
      <c r="BB23" s="482"/>
      <c r="BC23" s="482"/>
      <c r="BD23" s="482"/>
      <c r="BE23" s="482"/>
      <c r="BF23" s="482"/>
      <c r="BG23" s="482"/>
      <c r="BH23" s="482"/>
      <c r="BI23" s="482"/>
      <c r="BJ23" s="482"/>
      <c r="BK23" s="482"/>
      <c r="BL23" s="482"/>
      <c r="BM23" s="482"/>
      <c r="BN23" s="482"/>
      <c r="BO23" s="482"/>
      <c r="BP23" s="482"/>
      <c r="BQ23" s="482"/>
      <c r="BR23" s="482"/>
      <c r="BS23" s="482"/>
      <c r="BT23" s="482"/>
      <c r="BU23" s="482"/>
      <c r="BV23" s="482"/>
      <c r="BW23" s="482"/>
      <c r="BX23" s="482"/>
      <c r="BY23" s="482"/>
      <c r="BZ23" s="482"/>
      <c r="CA23" s="482"/>
      <c r="CB23" s="482"/>
      <c r="CC23" s="482"/>
      <c r="CD23" s="482"/>
      <c r="CE23" s="482"/>
      <c r="CF23" s="482"/>
      <c r="CG23" s="482"/>
      <c r="CH23" s="484"/>
    </row>
    <row r="24" spans="1:90" s="461" customFormat="1" ht="12" customHeight="1" x14ac:dyDescent="0.15">
      <c r="A24" s="522" t="s">
        <v>3222</v>
      </c>
      <c r="B24" s="467">
        <v>42375</v>
      </c>
      <c r="C24" s="468" t="s">
        <v>3223</v>
      </c>
      <c r="D24" s="468" t="s">
        <v>3192</v>
      </c>
      <c r="E24" s="468" t="s">
        <v>3699</v>
      </c>
      <c r="F24" s="468" t="s">
        <v>3686</v>
      </c>
      <c r="G24" s="466">
        <v>11</v>
      </c>
      <c r="H24" s="465">
        <v>5.5</v>
      </c>
      <c r="I24" s="466"/>
      <c r="J24" s="466"/>
      <c r="K24" s="466">
        <v>13</v>
      </c>
      <c r="L24" s="464" t="s">
        <v>431</v>
      </c>
      <c r="M24" s="463">
        <v>6711</v>
      </c>
      <c r="N24" s="457" t="s">
        <v>3225</v>
      </c>
      <c r="O24" s="466">
        <v>7</v>
      </c>
      <c r="P24" s="523">
        <v>-4.25</v>
      </c>
      <c r="Q24" s="462">
        <v>7.7500000000000008E-4</v>
      </c>
      <c r="R24" s="463">
        <v>99</v>
      </c>
      <c r="S24" s="466" t="s">
        <v>625</v>
      </c>
      <c r="T24" s="524"/>
      <c r="W24" s="460"/>
      <c r="AY24" s="486">
        <f t="shared" si="0"/>
        <v>99</v>
      </c>
      <c r="AZ24" s="487" t="str">
        <f t="shared" si="1"/>
        <v/>
      </c>
      <c r="CH24" s="459"/>
    </row>
    <row r="25" spans="1:90" s="461" customFormat="1" ht="12" customHeight="1" x14ac:dyDescent="0.15">
      <c r="A25" s="522" t="s">
        <v>3369</v>
      </c>
      <c r="B25" s="467">
        <v>42375</v>
      </c>
      <c r="C25" s="468" t="s">
        <v>3370</v>
      </c>
      <c r="D25" s="468" t="s">
        <v>3371</v>
      </c>
      <c r="E25" s="468" t="s">
        <v>3700</v>
      </c>
      <c r="F25" s="468" t="s">
        <v>3686</v>
      </c>
      <c r="G25" s="466">
        <v>14</v>
      </c>
      <c r="H25" s="465">
        <v>7</v>
      </c>
      <c r="I25" s="466"/>
      <c r="J25" s="466"/>
      <c r="K25" s="466">
        <v>12</v>
      </c>
      <c r="L25" s="464" t="s">
        <v>431</v>
      </c>
      <c r="M25" s="463">
        <v>6046</v>
      </c>
      <c r="N25" s="457" t="s">
        <v>3653</v>
      </c>
      <c r="O25" s="466">
        <v>3</v>
      </c>
      <c r="P25" s="523">
        <v>-1</v>
      </c>
      <c r="Q25" s="462">
        <v>1.0067129629629629E-3</v>
      </c>
      <c r="R25" s="463">
        <v>852</v>
      </c>
      <c r="S25" s="466" t="s">
        <v>625</v>
      </c>
      <c r="T25" s="524"/>
      <c r="W25" s="460"/>
      <c r="AY25" s="486">
        <f t="shared" si="0"/>
        <v>852</v>
      </c>
      <c r="AZ25" s="487" t="str">
        <f t="shared" si="1"/>
        <v/>
      </c>
      <c r="CH25" s="459"/>
    </row>
    <row r="26" spans="1:90" s="461" customFormat="1" ht="12" customHeight="1" x14ac:dyDescent="0.15">
      <c r="A26" s="522" t="s">
        <v>3363</v>
      </c>
      <c r="B26" s="467">
        <v>42375</v>
      </c>
      <c r="C26" s="468" t="s">
        <v>3289</v>
      </c>
      <c r="D26" s="468" t="s">
        <v>3213</v>
      </c>
      <c r="E26" s="468" t="s">
        <v>3683</v>
      </c>
      <c r="F26" s="468" t="s">
        <v>3686</v>
      </c>
      <c r="G26" s="466">
        <v>15</v>
      </c>
      <c r="H26" s="465">
        <v>6</v>
      </c>
      <c r="I26" s="466"/>
      <c r="J26" s="466"/>
      <c r="K26" s="466">
        <v>10</v>
      </c>
      <c r="L26" s="464" t="s">
        <v>431</v>
      </c>
      <c r="M26" s="463">
        <v>6711</v>
      </c>
      <c r="N26" s="457" t="s">
        <v>3225</v>
      </c>
      <c r="O26" s="466">
        <v>3</v>
      </c>
      <c r="P26" s="523">
        <v>-6.5</v>
      </c>
      <c r="Q26" s="462">
        <v>8.2175925925925917E-4</v>
      </c>
      <c r="R26" s="463">
        <v>945</v>
      </c>
      <c r="S26" s="466" t="s">
        <v>625</v>
      </c>
      <c r="T26" s="524"/>
      <c r="W26" s="460"/>
      <c r="AY26" s="486">
        <f t="shared" si="0"/>
        <v>945</v>
      </c>
      <c r="AZ26" s="487" t="str">
        <f t="shared" si="1"/>
        <v/>
      </c>
      <c r="CH26" s="459"/>
    </row>
    <row r="27" spans="1:90" s="461" customFormat="1" ht="12" customHeight="1" x14ac:dyDescent="0.15">
      <c r="A27" s="522" t="s">
        <v>3426</v>
      </c>
      <c r="B27" s="467">
        <v>42375</v>
      </c>
      <c r="C27" s="468" t="s">
        <v>3655</v>
      </c>
      <c r="D27" s="468" t="s">
        <v>3298</v>
      </c>
      <c r="E27" s="468" t="s">
        <v>3699</v>
      </c>
      <c r="F27" s="468" t="s">
        <v>3686</v>
      </c>
      <c r="G27" s="466">
        <v>16</v>
      </c>
      <c r="H27" s="465">
        <v>7.5</v>
      </c>
      <c r="I27" s="466"/>
      <c r="J27" s="466"/>
      <c r="K27" s="466">
        <v>13</v>
      </c>
      <c r="L27" s="464" t="s">
        <v>431</v>
      </c>
      <c r="M27" s="463">
        <v>6388</v>
      </c>
      <c r="N27" s="457" t="s">
        <v>3653</v>
      </c>
      <c r="O27" s="466">
        <v>9</v>
      </c>
      <c r="P27" s="523">
        <v>-20.75</v>
      </c>
      <c r="Q27" s="462">
        <v>1.06875E-3</v>
      </c>
      <c r="R27" s="463">
        <v>99</v>
      </c>
      <c r="S27" s="466" t="s">
        <v>625</v>
      </c>
      <c r="T27" s="524"/>
      <c r="W27" s="460"/>
      <c r="AY27" s="486">
        <f t="shared" si="0"/>
        <v>99</v>
      </c>
      <c r="AZ27" s="487" t="str">
        <f t="shared" si="1"/>
        <v/>
      </c>
      <c r="CH27" s="459"/>
    </row>
    <row r="28" spans="1:90" s="461" customFormat="1" ht="12" customHeight="1" x14ac:dyDescent="0.15">
      <c r="A28" s="522" t="s">
        <v>33</v>
      </c>
      <c r="B28" s="467">
        <v>42376</v>
      </c>
      <c r="C28" s="468" t="s">
        <v>3715</v>
      </c>
      <c r="D28" s="468" t="s">
        <v>3716</v>
      </c>
      <c r="E28" s="468" t="s">
        <v>3717</v>
      </c>
      <c r="F28" s="468" t="s">
        <v>680</v>
      </c>
      <c r="G28" s="466">
        <v>3</v>
      </c>
      <c r="H28" s="465">
        <v>8</v>
      </c>
      <c r="I28" s="466" t="s">
        <v>1360</v>
      </c>
      <c r="J28" s="466"/>
      <c r="K28" s="466">
        <v>8</v>
      </c>
      <c r="L28" s="506">
        <v>2</v>
      </c>
      <c r="M28" s="463">
        <v>9000</v>
      </c>
      <c r="N28" s="457" t="s">
        <v>3713</v>
      </c>
      <c r="O28" s="466">
        <v>5</v>
      </c>
      <c r="P28" s="523">
        <v>-6</v>
      </c>
      <c r="Q28" s="462">
        <v>1.1562499999999999E-3</v>
      </c>
      <c r="R28" s="463">
        <v>180</v>
      </c>
      <c r="S28" s="466"/>
      <c r="T28" s="524" t="s">
        <v>3714</v>
      </c>
      <c r="W28" s="460"/>
      <c r="AY28" s="486" t="str">
        <f t="shared" si="0"/>
        <v/>
      </c>
      <c r="AZ28" s="487" t="str">
        <f t="shared" si="1"/>
        <v/>
      </c>
      <c r="CH28" s="459"/>
    </row>
    <row r="29" spans="1:90" s="461" customFormat="1" ht="12" customHeight="1" x14ac:dyDescent="0.15">
      <c r="A29" s="522" t="s">
        <v>3694</v>
      </c>
      <c r="B29" s="467">
        <v>42376</v>
      </c>
      <c r="C29" s="468" t="s">
        <v>3719</v>
      </c>
      <c r="D29" s="468" t="s">
        <v>3721</v>
      </c>
      <c r="E29" s="468" t="s">
        <v>3720</v>
      </c>
      <c r="F29" s="468" t="s">
        <v>993</v>
      </c>
      <c r="G29" s="466">
        <v>8</v>
      </c>
      <c r="H29" s="465">
        <v>4.5</v>
      </c>
      <c r="I29" s="466"/>
      <c r="J29" s="466"/>
      <c r="K29" s="466">
        <v>10</v>
      </c>
      <c r="L29" s="506">
        <v>15</v>
      </c>
      <c r="M29" s="463">
        <v>23000</v>
      </c>
      <c r="N29" s="457" t="s">
        <v>3718</v>
      </c>
      <c r="O29" s="466">
        <v>7</v>
      </c>
      <c r="P29" s="523">
        <v>-9</v>
      </c>
      <c r="Q29" s="462">
        <v>6.1192129629629628E-4</v>
      </c>
      <c r="R29" s="463">
        <v>100</v>
      </c>
      <c r="S29" s="466"/>
      <c r="T29" s="524"/>
      <c r="W29" s="460"/>
      <c r="AY29" s="486" t="str">
        <f t="shared" si="0"/>
        <v/>
      </c>
      <c r="AZ29" s="487" t="str">
        <f t="shared" si="1"/>
        <v/>
      </c>
      <c r="CH29" s="459"/>
    </row>
    <row r="30" spans="1:90" s="461" customFormat="1" ht="12" customHeight="1" x14ac:dyDescent="0.15">
      <c r="A30" s="522" t="s">
        <v>3362</v>
      </c>
      <c r="B30" s="467">
        <v>42377</v>
      </c>
      <c r="C30" s="468" t="s">
        <v>2521</v>
      </c>
      <c r="D30" s="468" t="s">
        <v>3098</v>
      </c>
      <c r="E30" s="468" t="s">
        <v>3767</v>
      </c>
      <c r="F30" s="468" t="s">
        <v>3644</v>
      </c>
      <c r="G30" s="466">
        <v>5</v>
      </c>
      <c r="H30" s="465">
        <v>10</v>
      </c>
      <c r="I30" s="466"/>
      <c r="J30" s="466"/>
      <c r="K30" s="466">
        <v>17</v>
      </c>
      <c r="L30" s="464" t="s">
        <v>431</v>
      </c>
      <c r="M30" s="463">
        <v>26650</v>
      </c>
      <c r="N30" s="457" t="s">
        <v>3381</v>
      </c>
      <c r="O30" s="466">
        <v>15</v>
      </c>
      <c r="P30" s="523">
        <v>-30</v>
      </c>
      <c r="Q30" s="462" t="s">
        <v>3766</v>
      </c>
      <c r="R30" s="463">
        <v>0</v>
      </c>
      <c r="S30" s="466" t="s">
        <v>625</v>
      </c>
      <c r="T30" s="524"/>
      <c r="W30" s="460"/>
      <c r="AY30" s="486">
        <f t="shared" si="0"/>
        <v>0</v>
      </c>
      <c r="AZ30" s="487" t="str">
        <f t="shared" si="1"/>
        <v/>
      </c>
      <c r="CH30" s="459"/>
    </row>
    <row r="31" spans="1:90" s="469" customFormat="1" ht="12" customHeight="1" x14ac:dyDescent="0.15">
      <c r="A31" s="471" t="s">
        <v>1667</v>
      </c>
      <c r="B31" s="472">
        <v>42378</v>
      </c>
      <c r="C31" s="471" t="s">
        <v>3723</v>
      </c>
      <c r="D31" s="471" t="s">
        <v>3722</v>
      </c>
      <c r="E31" s="471" t="s">
        <v>1310</v>
      </c>
      <c r="F31" s="471" t="s">
        <v>5446</v>
      </c>
      <c r="G31" s="473"/>
      <c r="H31" s="474">
        <f>1650/200</f>
        <v>8.25</v>
      </c>
      <c r="I31" s="475"/>
      <c r="J31" s="475"/>
      <c r="K31" s="473">
        <v>14</v>
      </c>
      <c r="L31" s="485" t="s">
        <v>431</v>
      </c>
      <c r="M31" s="476">
        <v>156625</v>
      </c>
      <c r="N31" s="471" t="s">
        <v>4074</v>
      </c>
      <c r="O31" s="477" t="s">
        <v>431</v>
      </c>
      <c r="P31" s="478" t="s">
        <v>431</v>
      </c>
      <c r="Q31" s="479" t="s">
        <v>431</v>
      </c>
      <c r="R31" s="480" t="s">
        <v>431</v>
      </c>
      <c r="S31" s="477" t="s">
        <v>625</v>
      </c>
      <c r="T31" s="481" t="s">
        <v>3769</v>
      </c>
      <c r="U31" s="482"/>
      <c r="V31" s="482"/>
      <c r="W31" s="483"/>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2"/>
      <c r="AY31" s="486" t="str">
        <f t="shared" si="0"/>
        <v>--</v>
      </c>
      <c r="AZ31" s="487" t="str">
        <f t="shared" si="1"/>
        <v/>
      </c>
      <c r="BA31" s="482"/>
      <c r="BB31" s="482"/>
      <c r="BC31" s="482"/>
      <c r="BD31" s="482"/>
      <c r="BE31" s="482"/>
      <c r="BF31" s="482"/>
      <c r="BG31" s="482"/>
      <c r="BH31" s="482"/>
      <c r="BI31" s="482"/>
      <c r="BJ31" s="482"/>
      <c r="BK31" s="482"/>
      <c r="BL31" s="482"/>
      <c r="BM31" s="482"/>
      <c r="BN31" s="482"/>
      <c r="BO31" s="482"/>
      <c r="BP31" s="482"/>
      <c r="BQ31" s="482"/>
      <c r="BR31" s="482"/>
      <c r="BS31" s="482"/>
      <c r="BT31" s="482"/>
      <c r="BU31" s="482"/>
      <c r="BV31" s="482"/>
      <c r="BW31" s="482"/>
      <c r="BX31" s="482"/>
      <c r="BY31" s="482"/>
      <c r="BZ31" s="482"/>
      <c r="CA31" s="482"/>
      <c r="CB31" s="482"/>
      <c r="CC31" s="482"/>
      <c r="CD31" s="482"/>
      <c r="CE31" s="482"/>
      <c r="CF31" s="482"/>
      <c r="CG31" s="482"/>
      <c r="CH31" s="484"/>
    </row>
    <row r="32" spans="1:90" s="469" customFormat="1" ht="12" customHeight="1" x14ac:dyDescent="0.15">
      <c r="A32" s="471" t="s">
        <v>1294</v>
      </c>
      <c r="B32" s="472">
        <v>42379</v>
      </c>
      <c r="C32" s="471" t="s">
        <v>3732</v>
      </c>
      <c r="D32" s="471" t="s">
        <v>3728</v>
      </c>
      <c r="E32" s="471" t="s">
        <v>3729</v>
      </c>
      <c r="F32" s="471" t="s">
        <v>595</v>
      </c>
      <c r="G32" s="473">
        <v>8</v>
      </c>
      <c r="H32" s="474">
        <v>8</v>
      </c>
      <c r="I32" s="475" t="s">
        <v>3730</v>
      </c>
      <c r="J32" s="475" t="s">
        <v>3770</v>
      </c>
      <c r="K32" s="473">
        <v>12</v>
      </c>
      <c r="L32" s="458">
        <v>8</v>
      </c>
      <c r="M32" s="476">
        <v>39000</v>
      </c>
      <c r="N32" s="471" t="s">
        <v>3731</v>
      </c>
      <c r="O32" s="477" t="s">
        <v>431</v>
      </c>
      <c r="P32" s="478" t="s">
        <v>431</v>
      </c>
      <c r="Q32" s="479" t="s">
        <v>431</v>
      </c>
      <c r="R32" s="480" t="s">
        <v>431</v>
      </c>
      <c r="S32" s="477"/>
      <c r="T32" s="481" t="s">
        <v>3771</v>
      </c>
      <c r="U32" s="482"/>
      <c r="V32" s="482"/>
      <c r="W32" s="483"/>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2"/>
      <c r="AW32" s="482"/>
      <c r="AX32" s="482"/>
      <c r="AY32" s="486" t="str">
        <f t="shared" si="0"/>
        <v/>
      </c>
      <c r="AZ32" s="487" t="str">
        <f t="shared" si="1"/>
        <v/>
      </c>
      <c r="BA32" s="482"/>
      <c r="BB32" s="482"/>
      <c r="BC32" s="482"/>
      <c r="BD32" s="482"/>
      <c r="BE32" s="482"/>
      <c r="BF32" s="482"/>
      <c r="BG32" s="482"/>
      <c r="BH32" s="482"/>
      <c r="BI32" s="482"/>
      <c r="BJ32" s="482"/>
      <c r="BK32" s="482"/>
      <c r="BL32" s="482"/>
      <c r="BM32" s="482"/>
      <c r="BN32" s="482"/>
      <c r="BO32" s="482"/>
      <c r="BP32" s="482"/>
      <c r="BQ32" s="482"/>
      <c r="BR32" s="482"/>
      <c r="BS32" s="482"/>
      <c r="BT32" s="482"/>
      <c r="BU32" s="482"/>
      <c r="BV32" s="482"/>
      <c r="BW32" s="482"/>
      <c r="BX32" s="482"/>
      <c r="BY32" s="482"/>
      <c r="BZ32" s="482"/>
      <c r="CA32" s="482"/>
      <c r="CB32" s="482"/>
      <c r="CC32" s="482"/>
      <c r="CD32" s="482"/>
      <c r="CE32" s="482"/>
      <c r="CF32" s="482"/>
      <c r="CG32" s="482"/>
      <c r="CH32" s="484"/>
    </row>
    <row r="33" spans="1:90" s="461" customFormat="1" ht="12" customHeight="1" x14ac:dyDescent="0.15">
      <c r="A33" s="522" t="s">
        <v>3777</v>
      </c>
      <c r="B33" s="467">
        <v>42379</v>
      </c>
      <c r="C33" s="468" t="s">
        <v>3781</v>
      </c>
      <c r="D33" s="468" t="s">
        <v>3779</v>
      </c>
      <c r="E33" s="468" t="s">
        <v>3780</v>
      </c>
      <c r="F33" s="468" t="s">
        <v>3775</v>
      </c>
      <c r="G33" s="466">
        <v>2</v>
      </c>
      <c r="H33" s="465">
        <v>5.5</v>
      </c>
      <c r="I33" s="466" t="s">
        <v>1360</v>
      </c>
      <c r="J33" s="466"/>
      <c r="K33" s="466">
        <v>12</v>
      </c>
      <c r="L33" s="464" t="s">
        <v>431</v>
      </c>
      <c r="M33" s="463">
        <v>52270</v>
      </c>
      <c r="N33" s="457" t="s">
        <v>3778</v>
      </c>
      <c r="O33" s="466">
        <v>5</v>
      </c>
      <c r="P33" s="523">
        <v>-2.5</v>
      </c>
      <c r="Q33" s="462">
        <v>7.6585648148148151E-4</v>
      </c>
      <c r="R33" s="463">
        <v>941</v>
      </c>
      <c r="S33" s="466" t="s">
        <v>625</v>
      </c>
      <c r="T33" s="524"/>
      <c r="W33" s="460"/>
      <c r="AY33" s="486">
        <f t="shared" si="0"/>
        <v>941</v>
      </c>
      <c r="AZ33" s="487" t="str">
        <f t="shared" si="1"/>
        <v/>
      </c>
      <c r="CH33" s="459"/>
    </row>
    <row r="34" spans="1:90" s="469" customFormat="1" ht="12" customHeight="1" x14ac:dyDescent="0.15">
      <c r="A34" s="444" t="s">
        <v>3776</v>
      </c>
      <c r="B34" s="445">
        <v>42379</v>
      </c>
      <c r="C34" s="446" t="s">
        <v>3726</v>
      </c>
      <c r="D34" s="446" t="s">
        <v>3725</v>
      </c>
      <c r="E34" s="446" t="s">
        <v>3684</v>
      </c>
      <c r="F34" s="446" t="s">
        <v>3686</v>
      </c>
      <c r="G34" s="447">
        <v>11</v>
      </c>
      <c r="H34" s="448">
        <v>6.5</v>
      </c>
      <c r="I34" s="447"/>
      <c r="J34" s="447"/>
      <c r="K34" s="447">
        <v>11</v>
      </c>
      <c r="L34" s="448" t="s">
        <v>431</v>
      </c>
      <c r="M34" s="450">
        <v>6545</v>
      </c>
      <c r="N34" s="446" t="s">
        <v>3653</v>
      </c>
      <c r="O34" s="447">
        <v>1</v>
      </c>
      <c r="P34" s="451">
        <v>1.25</v>
      </c>
      <c r="Q34" s="452">
        <v>9.225694444444445E-4</v>
      </c>
      <c r="R34" s="450">
        <v>3895</v>
      </c>
      <c r="S34" s="447" t="s">
        <v>625</v>
      </c>
      <c r="T34" s="453"/>
      <c r="U34" s="454"/>
      <c r="V34" s="454"/>
      <c r="W34" s="455"/>
      <c r="X34" s="454"/>
      <c r="Y34" s="454"/>
      <c r="Z34" s="454"/>
      <c r="AA34" s="454"/>
      <c r="AB34" s="454"/>
      <c r="AC34" s="454"/>
      <c r="AD34" s="454"/>
      <c r="AE34" s="454"/>
      <c r="AF34" s="454"/>
      <c r="AG34" s="454"/>
      <c r="AH34" s="454"/>
      <c r="AI34" s="454"/>
      <c r="AJ34" s="454"/>
      <c r="AK34" s="454"/>
      <c r="AL34" s="454"/>
      <c r="AM34" s="454"/>
      <c r="AN34" s="454"/>
      <c r="AO34" s="454"/>
      <c r="AP34" s="454"/>
      <c r="AQ34" s="454"/>
      <c r="AR34" s="454"/>
      <c r="AS34" s="454"/>
      <c r="AT34" s="454"/>
      <c r="AU34" s="454"/>
      <c r="AV34" s="454"/>
      <c r="AW34" s="454"/>
      <c r="AX34" s="454"/>
      <c r="AY34" s="486">
        <f t="shared" si="0"/>
        <v>3895</v>
      </c>
      <c r="AZ34" s="487">
        <f t="shared" si="1"/>
        <v>1</v>
      </c>
      <c r="BA34" s="454"/>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454"/>
      <c r="CF34" s="454"/>
      <c r="CG34" s="454"/>
      <c r="CH34" s="456"/>
      <c r="CI34" s="454"/>
      <c r="CJ34" s="454"/>
      <c r="CK34" s="454"/>
      <c r="CL34" s="454"/>
    </row>
    <row r="35" spans="1:90" s="461" customFormat="1" ht="12" customHeight="1" x14ac:dyDescent="0.15">
      <c r="A35" s="522" t="s">
        <v>4002</v>
      </c>
      <c r="B35" s="467">
        <v>42379</v>
      </c>
      <c r="C35" s="468" t="s">
        <v>3724</v>
      </c>
      <c r="D35" s="468" t="s">
        <v>3727</v>
      </c>
      <c r="E35" s="468" t="s">
        <v>4764</v>
      </c>
      <c r="F35" s="468" t="s">
        <v>3686</v>
      </c>
      <c r="G35" s="466">
        <v>11</v>
      </c>
      <c r="H35" s="465">
        <v>6.5</v>
      </c>
      <c r="I35" s="466"/>
      <c r="J35" s="466"/>
      <c r="K35" s="466">
        <v>11</v>
      </c>
      <c r="L35" s="464" t="s">
        <v>431</v>
      </c>
      <c r="M35" s="463">
        <v>6545</v>
      </c>
      <c r="N35" s="457" t="s">
        <v>3653</v>
      </c>
      <c r="O35" s="466">
        <v>5</v>
      </c>
      <c r="P35" s="523">
        <v>-8.25</v>
      </c>
      <c r="Q35" s="462">
        <v>9.225694444444445E-4</v>
      </c>
      <c r="R35" s="463">
        <v>99</v>
      </c>
      <c r="S35" s="466" t="s">
        <v>625</v>
      </c>
      <c r="T35" s="524"/>
      <c r="W35" s="460"/>
      <c r="AY35" s="486">
        <f t="shared" si="0"/>
        <v>99</v>
      </c>
      <c r="AZ35" s="487" t="str">
        <f t="shared" si="1"/>
        <v/>
      </c>
      <c r="CH35" s="459"/>
    </row>
    <row r="36" spans="1:90" s="461" customFormat="1" ht="12" customHeight="1" x14ac:dyDescent="0.15">
      <c r="A36" s="522" t="s">
        <v>2227</v>
      </c>
      <c r="B36" s="467">
        <v>42382</v>
      </c>
      <c r="C36" s="468" t="s">
        <v>3756</v>
      </c>
      <c r="D36" s="468" t="s">
        <v>3757</v>
      </c>
      <c r="E36" s="468" t="s">
        <v>3758</v>
      </c>
      <c r="F36" s="468" t="s">
        <v>2376</v>
      </c>
      <c r="G36" s="466">
        <v>1</v>
      </c>
      <c r="H36" s="465">
        <v>6</v>
      </c>
      <c r="I36" s="466"/>
      <c r="J36" s="466"/>
      <c r="K36" s="466">
        <v>8</v>
      </c>
      <c r="L36" s="506">
        <v>3</v>
      </c>
      <c r="M36" s="463">
        <v>28500</v>
      </c>
      <c r="N36" s="457" t="s">
        <v>3787</v>
      </c>
      <c r="O36" s="466">
        <v>3</v>
      </c>
      <c r="P36" s="523">
        <v>-6</v>
      </c>
      <c r="Q36" s="462">
        <v>8.2094907407407409E-4</v>
      </c>
      <c r="R36" s="463">
        <v>3762</v>
      </c>
      <c r="S36" s="466"/>
      <c r="T36" s="524" t="s">
        <v>3755</v>
      </c>
      <c r="W36" s="460"/>
      <c r="AY36" s="486" t="str">
        <f t="shared" si="0"/>
        <v/>
      </c>
      <c r="AZ36" s="487" t="str">
        <f t="shared" si="1"/>
        <v/>
      </c>
      <c r="CH36" s="459"/>
    </row>
    <row r="37" spans="1:90" s="461" customFormat="1" ht="12" customHeight="1" x14ac:dyDescent="0.15">
      <c r="A37" s="522" t="s">
        <v>1943</v>
      </c>
      <c r="B37" s="467">
        <v>42382</v>
      </c>
      <c r="C37" s="468" t="s">
        <v>3736</v>
      </c>
      <c r="D37" s="468" t="s">
        <v>3737</v>
      </c>
      <c r="E37" s="468" t="s">
        <v>3738</v>
      </c>
      <c r="F37" s="468" t="s">
        <v>257</v>
      </c>
      <c r="G37" s="466">
        <v>8</v>
      </c>
      <c r="H37" s="465">
        <v>7</v>
      </c>
      <c r="I37" s="466"/>
      <c r="J37" s="466"/>
      <c r="K37" s="466">
        <v>8</v>
      </c>
      <c r="L37" s="506">
        <f>7/2</f>
        <v>3.5</v>
      </c>
      <c r="M37" s="463">
        <v>42000</v>
      </c>
      <c r="N37" s="457" t="s">
        <v>3739</v>
      </c>
      <c r="O37" s="466">
        <v>7</v>
      </c>
      <c r="P37" s="523">
        <v>-9</v>
      </c>
      <c r="Q37" s="462">
        <v>1.0103009259259258E-3</v>
      </c>
      <c r="R37" s="463">
        <v>0</v>
      </c>
      <c r="S37" s="466"/>
      <c r="T37" s="524" t="s">
        <v>3755</v>
      </c>
      <c r="W37" s="460"/>
      <c r="AY37" s="486" t="str">
        <f t="shared" si="0"/>
        <v/>
      </c>
      <c r="AZ37" s="487" t="str">
        <f t="shared" si="1"/>
        <v/>
      </c>
      <c r="CH37" s="459"/>
    </row>
    <row r="38" spans="1:90" s="461" customFormat="1" ht="12" customHeight="1" x14ac:dyDescent="0.15">
      <c r="A38" s="522" t="s">
        <v>3182</v>
      </c>
      <c r="B38" s="467">
        <v>42383</v>
      </c>
      <c r="C38" s="468" t="s">
        <v>3785</v>
      </c>
      <c r="D38" s="468" t="s">
        <v>3705</v>
      </c>
      <c r="E38" s="468" t="s">
        <v>3786</v>
      </c>
      <c r="F38" s="468" t="s">
        <v>2376</v>
      </c>
      <c r="G38" s="466">
        <v>1</v>
      </c>
      <c r="H38" s="465">
        <v>6</v>
      </c>
      <c r="I38" s="466"/>
      <c r="J38" s="466"/>
      <c r="K38" s="466">
        <v>10</v>
      </c>
      <c r="L38" s="506">
        <v>6</v>
      </c>
      <c r="M38" s="463">
        <v>33300</v>
      </c>
      <c r="N38" s="457" t="s">
        <v>3718</v>
      </c>
      <c r="O38" s="466">
        <v>6</v>
      </c>
      <c r="P38" s="523">
        <v>-9.5</v>
      </c>
      <c r="Q38" s="462">
        <v>8.2638888888888877E-4</v>
      </c>
      <c r="R38" s="463">
        <v>0</v>
      </c>
      <c r="S38" s="466"/>
      <c r="T38" s="524"/>
      <c r="W38" s="460"/>
      <c r="AY38" s="486" t="str">
        <f t="shared" si="0"/>
        <v/>
      </c>
      <c r="AZ38" s="487" t="str">
        <f t="shared" ref="AZ38:AZ69" si="2">IF(F38="Pleasant Meadows","",IF(L38="","",IF(O38="--","",IF(O38=1,1,""))))</f>
        <v/>
      </c>
      <c r="CH38" s="459"/>
    </row>
    <row r="39" spans="1:90" s="469" customFormat="1" ht="12" customHeight="1" x14ac:dyDescent="0.15">
      <c r="A39" s="471" t="s">
        <v>984</v>
      </c>
      <c r="B39" s="472">
        <v>42383</v>
      </c>
      <c r="C39" s="471" t="s">
        <v>3759</v>
      </c>
      <c r="D39" s="471" t="s">
        <v>3760</v>
      </c>
      <c r="E39" s="471" t="s">
        <v>3761</v>
      </c>
      <c r="F39" s="471" t="s">
        <v>680</v>
      </c>
      <c r="G39" s="473">
        <v>4</v>
      </c>
      <c r="H39" s="474">
        <v>6</v>
      </c>
      <c r="I39" s="475" t="s">
        <v>1360</v>
      </c>
      <c r="J39" s="475"/>
      <c r="K39" s="473">
        <v>12</v>
      </c>
      <c r="L39" s="458">
        <v>6</v>
      </c>
      <c r="M39" s="476">
        <v>7100</v>
      </c>
      <c r="N39" s="471" t="s">
        <v>3762</v>
      </c>
      <c r="O39" s="477" t="s">
        <v>431</v>
      </c>
      <c r="P39" s="478" t="s">
        <v>431</v>
      </c>
      <c r="Q39" s="479" t="s">
        <v>431</v>
      </c>
      <c r="R39" s="480" t="s">
        <v>431</v>
      </c>
      <c r="S39" s="477"/>
      <c r="T39" s="481" t="s">
        <v>3798</v>
      </c>
      <c r="U39" s="482"/>
      <c r="V39" s="482"/>
      <c r="W39" s="483"/>
      <c r="X39" s="482"/>
      <c r="Y39" s="482"/>
      <c r="Z39" s="482"/>
      <c r="AA39" s="482"/>
      <c r="AB39" s="482"/>
      <c r="AC39" s="482"/>
      <c r="AD39" s="482"/>
      <c r="AE39" s="482"/>
      <c r="AF39" s="482"/>
      <c r="AG39" s="482"/>
      <c r="AH39" s="482"/>
      <c r="AI39" s="482"/>
      <c r="AJ39" s="482"/>
      <c r="AK39" s="482"/>
      <c r="AL39" s="482"/>
      <c r="AM39" s="482"/>
      <c r="AN39" s="482"/>
      <c r="AO39" s="482"/>
      <c r="AP39" s="482"/>
      <c r="AQ39" s="482"/>
      <c r="AR39" s="482"/>
      <c r="AS39" s="482"/>
      <c r="AT39" s="482"/>
      <c r="AU39" s="482"/>
      <c r="AV39" s="482"/>
      <c r="AW39" s="482"/>
      <c r="AX39" s="482"/>
      <c r="AY39" s="486" t="str">
        <f t="shared" si="0"/>
        <v/>
      </c>
      <c r="AZ39" s="487" t="str">
        <f t="shared" si="2"/>
        <v/>
      </c>
      <c r="BA39" s="482"/>
      <c r="BB39" s="482"/>
      <c r="BC39" s="482"/>
      <c r="BD39" s="482"/>
      <c r="BE39" s="482"/>
      <c r="BF39" s="482"/>
      <c r="BG39" s="482"/>
      <c r="BH39" s="482"/>
      <c r="BI39" s="482"/>
      <c r="BJ39" s="482"/>
      <c r="BK39" s="482"/>
      <c r="BL39" s="482"/>
      <c r="BM39" s="482"/>
      <c r="BN39" s="482"/>
      <c r="BO39" s="482"/>
      <c r="BP39" s="482"/>
      <c r="BQ39" s="482"/>
      <c r="BR39" s="482"/>
      <c r="BS39" s="482"/>
      <c r="BT39" s="482"/>
      <c r="BU39" s="482"/>
      <c r="BV39" s="482"/>
      <c r="BW39" s="482"/>
      <c r="BX39" s="482"/>
      <c r="BY39" s="482"/>
      <c r="BZ39" s="482"/>
      <c r="CA39" s="482"/>
      <c r="CB39" s="482"/>
      <c r="CC39" s="482"/>
      <c r="CD39" s="482"/>
      <c r="CE39" s="482"/>
      <c r="CF39" s="482"/>
      <c r="CG39" s="482"/>
      <c r="CH39" s="484"/>
    </row>
    <row r="40" spans="1:90" s="461" customFormat="1" ht="12" customHeight="1" x14ac:dyDescent="0.15">
      <c r="A40" s="522" t="s">
        <v>3204</v>
      </c>
      <c r="B40" s="467">
        <v>42384</v>
      </c>
      <c r="C40" s="468" t="s">
        <v>3633</v>
      </c>
      <c r="D40" s="468" t="s">
        <v>3295</v>
      </c>
      <c r="E40" s="468" t="s">
        <v>3788</v>
      </c>
      <c r="F40" s="468" t="s">
        <v>788</v>
      </c>
      <c r="G40" s="466">
        <v>8</v>
      </c>
      <c r="H40" s="465">
        <v>6</v>
      </c>
      <c r="I40" s="466"/>
      <c r="J40" s="466"/>
      <c r="K40" s="466">
        <v>8</v>
      </c>
      <c r="L40" s="506">
        <v>20</v>
      </c>
      <c r="M40" s="463">
        <v>28000</v>
      </c>
      <c r="N40" s="457" t="s">
        <v>3789</v>
      </c>
      <c r="O40" s="466" t="s">
        <v>3872</v>
      </c>
      <c r="P40" s="523" t="s">
        <v>3873</v>
      </c>
      <c r="Q40" s="462">
        <v>8.2766203703703702E-4</v>
      </c>
      <c r="R40" s="463">
        <v>0</v>
      </c>
      <c r="S40" s="466"/>
      <c r="T40" s="524"/>
      <c r="W40" s="460"/>
      <c r="AY40" s="486" t="str">
        <f t="shared" si="0"/>
        <v/>
      </c>
      <c r="AZ40" s="487" t="str">
        <f t="shared" si="2"/>
        <v/>
      </c>
      <c r="CH40" s="459"/>
    </row>
    <row r="41" spans="1:90" s="461" customFormat="1" ht="12" customHeight="1" x14ac:dyDescent="0.15">
      <c r="A41" s="522" t="s">
        <v>2151</v>
      </c>
      <c r="B41" s="467">
        <v>42384</v>
      </c>
      <c r="C41" s="468" t="s">
        <v>3852</v>
      </c>
      <c r="D41" s="468" t="s">
        <v>3853</v>
      </c>
      <c r="E41" s="468" t="s">
        <v>3854</v>
      </c>
      <c r="F41" s="468" t="s">
        <v>2376</v>
      </c>
      <c r="G41" s="466">
        <v>2</v>
      </c>
      <c r="H41" s="465">
        <v>6</v>
      </c>
      <c r="I41" s="466"/>
      <c r="J41" s="466"/>
      <c r="K41" s="466">
        <v>10</v>
      </c>
      <c r="L41" s="506">
        <v>8</v>
      </c>
      <c r="M41" s="463">
        <v>33300</v>
      </c>
      <c r="N41" s="457" t="s">
        <v>3851</v>
      </c>
      <c r="O41" s="466">
        <v>5</v>
      </c>
      <c r="P41" s="523">
        <v>-8</v>
      </c>
      <c r="Q41" s="462">
        <v>8.350694444444446E-4</v>
      </c>
      <c r="R41" s="463">
        <v>999</v>
      </c>
      <c r="S41" s="466"/>
      <c r="T41" s="524"/>
      <c r="W41" s="460"/>
      <c r="AY41" s="486" t="str">
        <f t="shared" si="0"/>
        <v/>
      </c>
      <c r="AZ41" s="487" t="str">
        <f t="shared" si="2"/>
        <v/>
      </c>
      <c r="CH41" s="459"/>
    </row>
    <row r="42" spans="1:90" s="461" customFormat="1" ht="12" customHeight="1" x14ac:dyDescent="0.15">
      <c r="A42" s="522" t="s">
        <v>2177</v>
      </c>
      <c r="B42" s="467">
        <v>42384</v>
      </c>
      <c r="C42" s="468" t="s">
        <v>1805</v>
      </c>
      <c r="D42" s="468" t="s">
        <v>3855</v>
      </c>
      <c r="E42" s="468" t="s">
        <v>3856</v>
      </c>
      <c r="F42" s="468" t="s">
        <v>2376</v>
      </c>
      <c r="G42" s="466">
        <v>2</v>
      </c>
      <c r="H42" s="465">
        <v>6</v>
      </c>
      <c r="I42" s="466"/>
      <c r="J42" s="466"/>
      <c r="K42" s="466">
        <v>10</v>
      </c>
      <c r="L42" s="506">
        <v>8</v>
      </c>
      <c r="M42" s="463">
        <v>33300</v>
      </c>
      <c r="N42" s="457" t="s">
        <v>3851</v>
      </c>
      <c r="O42" s="466">
        <v>6</v>
      </c>
      <c r="P42" s="523">
        <v>-8.25</v>
      </c>
      <c r="Q42" s="462">
        <v>8.350694444444446E-4</v>
      </c>
      <c r="R42" s="463">
        <v>0</v>
      </c>
      <c r="S42" s="466"/>
      <c r="T42" s="524"/>
      <c r="W42" s="460"/>
      <c r="AY42" s="486" t="str">
        <f t="shared" si="0"/>
        <v/>
      </c>
      <c r="AZ42" s="487" t="str">
        <f t="shared" si="2"/>
        <v/>
      </c>
      <c r="CH42" s="459"/>
    </row>
    <row r="43" spans="1:90" s="461" customFormat="1" ht="12" customHeight="1" x14ac:dyDescent="0.15">
      <c r="A43" s="522" t="s">
        <v>3821</v>
      </c>
      <c r="B43" s="467">
        <v>42384</v>
      </c>
      <c r="C43" s="468" t="s">
        <v>3822</v>
      </c>
      <c r="D43" s="468" t="s">
        <v>3823</v>
      </c>
      <c r="E43" s="468" t="s">
        <v>3844</v>
      </c>
      <c r="F43" s="468" t="s">
        <v>3686</v>
      </c>
      <c r="G43" s="466">
        <v>9</v>
      </c>
      <c r="H43" s="465">
        <v>7</v>
      </c>
      <c r="I43" s="466"/>
      <c r="J43" s="466"/>
      <c r="K43" s="466">
        <v>10</v>
      </c>
      <c r="L43" s="464" t="s">
        <v>431</v>
      </c>
      <c r="M43" s="463">
        <v>6545</v>
      </c>
      <c r="N43" s="468" t="s">
        <v>3653</v>
      </c>
      <c r="O43" s="466">
        <v>5</v>
      </c>
      <c r="P43" s="523">
        <v>-8.25</v>
      </c>
      <c r="Q43" s="462">
        <v>9.97685185185185E-4</v>
      </c>
      <c r="R43" s="463">
        <v>99</v>
      </c>
      <c r="S43" s="466" t="s">
        <v>625</v>
      </c>
      <c r="T43" s="524"/>
      <c r="W43" s="460"/>
      <c r="AY43" s="486">
        <f t="shared" si="0"/>
        <v>99</v>
      </c>
      <c r="AZ43" s="487" t="str">
        <f t="shared" si="2"/>
        <v/>
      </c>
      <c r="CH43" s="459"/>
    </row>
    <row r="44" spans="1:90" s="469" customFormat="1" ht="12" customHeight="1" x14ac:dyDescent="0.15">
      <c r="A44" s="444" t="s">
        <v>2127</v>
      </c>
      <c r="B44" s="445">
        <v>42384</v>
      </c>
      <c r="C44" s="446" t="s">
        <v>1838</v>
      </c>
      <c r="D44" s="446" t="s">
        <v>3842</v>
      </c>
      <c r="E44" s="446" t="s">
        <v>3843</v>
      </c>
      <c r="F44" s="446" t="s">
        <v>993</v>
      </c>
      <c r="G44" s="447">
        <v>2</v>
      </c>
      <c r="H44" s="448">
        <v>6.5</v>
      </c>
      <c r="I44" s="447"/>
      <c r="J44" s="447"/>
      <c r="K44" s="447">
        <v>10</v>
      </c>
      <c r="L44" s="449">
        <f>7/2</f>
        <v>3.5</v>
      </c>
      <c r="M44" s="450">
        <v>10000</v>
      </c>
      <c r="N44" s="446" t="s">
        <v>3762</v>
      </c>
      <c r="O44" s="447">
        <v>1</v>
      </c>
      <c r="P44" s="451">
        <v>-2</v>
      </c>
      <c r="Q44" s="452">
        <v>9.5486111111111108E-4</v>
      </c>
      <c r="R44" s="450">
        <v>5760</v>
      </c>
      <c r="S44" s="447"/>
      <c r="T44" s="453"/>
      <c r="U44" s="454"/>
      <c r="V44" s="454"/>
      <c r="W44" s="455"/>
      <c r="X44" s="454"/>
      <c r="Y44" s="454"/>
      <c r="Z44" s="454"/>
      <c r="AA44" s="454"/>
      <c r="AB44" s="454"/>
      <c r="AC44" s="454"/>
      <c r="AD44" s="454"/>
      <c r="AE44" s="454"/>
      <c r="AF44" s="454"/>
      <c r="AG44" s="454"/>
      <c r="AH44" s="454"/>
      <c r="AI44" s="454"/>
      <c r="AJ44" s="454"/>
      <c r="AK44" s="454"/>
      <c r="AL44" s="454"/>
      <c r="AM44" s="454"/>
      <c r="AN44" s="454"/>
      <c r="AO44" s="454"/>
      <c r="AP44" s="454"/>
      <c r="AQ44" s="454"/>
      <c r="AR44" s="454"/>
      <c r="AS44" s="454"/>
      <c r="AT44" s="454"/>
      <c r="AU44" s="454"/>
      <c r="AV44" s="454"/>
      <c r="AW44" s="454"/>
      <c r="AX44" s="454"/>
      <c r="AY44" s="486" t="str">
        <f t="shared" si="0"/>
        <v/>
      </c>
      <c r="AZ44" s="487">
        <f t="shared" si="2"/>
        <v>1</v>
      </c>
      <c r="BA44" s="454"/>
      <c r="BB44" s="454"/>
      <c r="BC44" s="454"/>
      <c r="BD44" s="454"/>
      <c r="BE44" s="454"/>
      <c r="BF44" s="454"/>
      <c r="BG44" s="454"/>
      <c r="BH44" s="454"/>
      <c r="BI44" s="454"/>
      <c r="BJ44" s="454"/>
      <c r="BK44" s="454"/>
      <c r="BL44" s="454"/>
      <c r="BM44" s="454"/>
      <c r="BN44" s="454"/>
      <c r="BO44" s="454"/>
      <c r="BP44" s="454"/>
      <c r="BQ44" s="454"/>
      <c r="BR44" s="454"/>
      <c r="BS44" s="454"/>
      <c r="BT44" s="454"/>
      <c r="BU44" s="454"/>
      <c r="BV44" s="454"/>
      <c r="BW44" s="454"/>
      <c r="BX44" s="454"/>
      <c r="BY44" s="454"/>
      <c r="BZ44" s="454"/>
      <c r="CA44" s="454"/>
      <c r="CB44" s="454"/>
      <c r="CC44" s="454"/>
      <c r="CD44" s="454"/>
      <c r="CE44" s="454"/>
      <c r="CF44" s="454"/>
      <c r="CG44" s="454"/>
      <c r="CH44" s="456"/>
      <c r="CI44" s="454"/>
      <c r="CJ44" s="454"/>
      <c r="CK44" s="454"/>
      <c r="CL44" s="454"/>
    </row>
    <row r="45" spans="1:90" s="469" customFormat="1" ht="12" customHeight="1" x14ac:dyDescent="0.15">
      <c r="A45" s="444" t="s">
        <v>3825</v>
      </c>
      <c r="B45" s="445">
        <v>42385</v>
      </c>
      <c r="C45" s="446" t="s">
        <v>3826</v>
      </c>
      <c r="D45" s="446" t="s">
        <v>3827</v>
      </c>
      <c r="E45" s="446" t="s">
        <v>3700</v>
      </c>
      <c r="F45" s="446" t="s">
        <v>3685</v>
      </c>
      <c r="G45" s="447">
        <v>2</v>
      </c>
      <c r="H45" s="448">
        <v>5</v>
      </c>
      <c r="I45" s="447"/>
      <c r="J45" s="447"/>
      <c r="K45" s="447">
        <v>8</v>
      </c>
      <c r="L45" s="448" t="s">
        <v>431</v>
      </c>
      <c r="M45" s="450">
        <v>4844</v>
      </c>
      <c r="N45" s="446" t="s">
        <v>3828</v>
      </c>
      <c r="O45" s="447">
        <v>1</v>
      </c>
      <c r="P45" s="451">
        <v>4</v>
      </c>
      <c r="Q45" s="452">
        <v>7.0451388888888896E-4</v>
      </c>
      <c r="R45" s="450">
        <v>2784</v>
      </c>
      <c r="S45" s="447" t="s">
        <v>625</v>
      </c>
      <c r="T45" s="453"/>
      <c r="U45" s="454"/>
      <c r="V45" s="454"/>
      <c r="W45" s="455"/>
      <c r="X45" s="454"/>
      <c r="Y45" s="454"/>
      <c r="Z45" s="454"/>
      <c r="AA45" s="454"/>
      <c r="AB45" s="454"/>
      <c r="AC45" s="454"/>
      <c r="AD45" s="454"/>
      <c r="AE45" s="454"/>
      <c r="AF45" s="454"/>
      <c r="AG45" s="454"/>
      <c r="AH45" s="454"/>
      <c r="AI45" s="454"/>
      <c r="AJ45" s="454"/>
      <c r="AK45" s="454"/>
      <c r="AL45" s="454"/>
      <c r="AM45" s="454"/>
      <c r="AN45" s="454"/>
      <c r="AO45" s="454"/>
      <c r="AP45" s="454"/>
      <c r="AQ45" s="454"/>
      <c r="AR45" s="454"/>
      <c r="AS45" s="454"/>
      <c r="AT45" s="454"/>
      <c r="AU45" s="454"/>
      <c r="AV45" s="454"/>
      <c r="AW45" s="454"/>
      <c r="AX45" s="454"/>
      <c r="AY45" s="486">
        <f t="shared" si="0"/>
        <v>2784</v>
      </c>
      <c r="AZ45" s="487">
        <f t="shared" si="2"/>
        <v>1</v>
      </c>
      <c r="BA45" s="454"/>
      <c r="BB45" s="454"/>
      <c r="BC45" s="454"/>
      <c r="BD45" s="454"/>
      <c r="BE45" s="454"/>
      <c r="BF45" s="454"/>
      <c r="BG45" s="454"/>
      <c r="BH45" s="454"/>
      <c r="BI45" s="454"/>
      <c r="BJ45" s="454"/>
      <c r="BK45" s="454"/>
      <c r="BL45" s="454"/>
      <c r="BM45" s="454"/>
      <c r="BN45" s="454"/>
      <c r="BO45" s="454"/>
      <c r="BP45" s="454"/>
      <c r="BQ45" s="454"/>
      <c r="BR45" s="454"/>
      <c r="BS45" s="454"/>
      <c r="BT45" s="454"/>
      <c r="BU45" s="454"/>
      <c r="BV45" s="454"/>
      <c r="BW45" s="454"/>
      <c r="BX45" s="454"/>
      <c r="BY45" s="454"/>
      <c r="BZ45" s="454"/>
      <c r="CA45" s="454"/>
      <c r="CB45" s="454"/>
      <c r="CC45" s="454"/>
      <c r="CD45" s="454"/>
      <c r="CE45" s="454"/>
      <c r="CF45" s="454"/>
      <c r="CG45" s="454"/>
      <c r="CH45" s="456"/>
      <c r="CI45" s="454"/>
      <c r="CJ45" s="454"/>
      <c r="CK45" s="454"/>
      <c r="CL45" s="454"/>
    </row>
    <row r="46" spans="1:90" s="461" customFormat="1" ht="12" customHeight="1" x14ac:dyDescent="0.15">
      <c r="A46" s="522" t="s">
        <v>3838</v>
      </c>
      <c r="B46" s="467">
        <v>42385</v>
      </c>
      <c r="C46" s="468" t="s">
        <v>3841</v>
      </c>
      <c r="D46" s="468" t="s">
        <v>3837</v>
      </c>
      <c r="E46" s="468" t="s">
        <v>3845</v>
      </c>
      <c r="F46" s="468" t="s">
        <v>3836</v>
      </c>
      <c r="G46" s="466">
        <v>3</v>
      </c>
      <c r="H46" s="465">
        <v>5</v>
      </c>
      <c r="I46" s="466"/>
      <c r="J46" s="466"/>
      <c r="K46" s="466">
        <v>8</v>
      </c>
      <c r="L46" s="464" t="s">
        <v>431</v>
      </c>
      <c r="M46" s="463">
        <v>2291</v>
      </c>
      <c r="N46" s="468" t="s">
        <v>3778</v>
      </c>
      <c r="O46" s="466">
        <v>6</v>
      </c>
      <c r="P46" s="523">
        <v>-7.5</v>
      </c>
      <c r="Q46" s="462">
        <v>6.8252314814814814E-4</v>
      </c>
      <c r="R46" s="463">
        <v>30</v>
      </c>
      <c r="S46" s="466" t="s">
        <v>625</v>
      </c>
      <c r="T46" s="524"/>
      <c r="W46" s="460"/>
      <c r="AY46" s="486">
        <f t="shared" si="0"/>
        <v>30</v>
      </c>
      <c r="AZ46" s="487" t="str">
        <f t="shared" si="2"/>
        <v/>
      </c>
      <c r="CH46" s="459"/>
    </row>
    <row r="47" spans="1:90" s="469" customFormat="1" ht="12" customHeight="1" x14ac:dyDescent="0.15">
      <c r="A47" s="471" t="s">
        <v>3884</v>
      </c>
      <c r="B47" s="472">
        <v>42385</v>
      </c>
      <c r="C47" s="471" t="s">
        <v>3330</v>
      </c>
      <c r="D47" s="471" t="s">
        <v>3497</v>
      </c>
      <c r="E47" s="471" t="s">
        <v>3844</v>
      </c>
      <c r="F47" s="471" t="s">
        <v>3836</v>
      </c>
      <c r="G47" s="473">
        <v>7</v>
      </c>
      <c r="H47" s="474">
        <v>5</v>
      </c>
      <c r="I47" s="475"/>
      <c r="J47" s="475"/>
      <c r="K47" s="473">
        <v>12</v>
      </c>
      <c r="L47" s="485" t="s">
        <v>431</v>
      </c>
      <c r="M47" s="476">
        <v>1309</v>
      </c>
      <c r="N47" s="471" t="s">
        <v>3225</v>
      </c>
      <c r="O47" s="477" t="s">
        <v>431</v>
      </c>
      <c r="P47" s="478" t="s">
        <v>431</v>
      </c>
      <c r="Q47" s="479" t="s">
        <v>431</v>
      </c>
      <c r="R47" s="480" t="s">
        <v>431</v>
      </c>
      <c r="S47" s="477" t="s">
        <v>625</v>
      </c>
      <c r="T47" s="481" t="s">
        <v>3885</v>
      </c>
      <c r="U47" s="482"/>
      <c r="V47" s="482"/>
      <c r="W47" s="483"/>
      <c r="X47" s="482"/>
      <c r="Y47" s="482"/>
      <c r="Z47" s="482"/>
      <c r="AA47" s="482"/>
      <c r="AB47" s="482"/>
      <c r="AC47" s="482"/>
      <c r="AD47" s="482"/>
      <c r="AE47" s="482"/>
      <c r="AF47" s="482"/>
      <c r="AG47" s="482"/>
      <c r="AH47" s="482"/>
      <c r="AI47" s="482"/>
      <c r="AJ47" s="482"/>
      <c r="AK47" s="482"/>
      <c r="AL47" s="482"/>
      <c r="AM47" s="482"/>
      <c r="AN47" s="482"/>
      <c r="AO47" s="482"/>
      <c r="AP47" s="482"/>
      <c r="AQ47" s="482"/>
      <c r="AR47" s="482"/>
      <c r="AS47" s="482"/>
      <c r="AT47" s="482"/>
      <c r="AU47" s="482"/>
      <c r="AV47" s="482"/>
      <c r="AW47" s="482"/>
      <c r="AX47" s="482"/>
      <c r="AY47" s="486" t="str">
        <f t="shared" si="0"/>
        <v>--</v>
      </c>
      <c r="AZ47" s="487" t="str">
        <f t="shared" si="2"/>
        <v/>
      </c>
      <c r="BA47" s="482"/>
      <c r="BB47" s="482"/>
      <c r="BC47" s="482"/>
      <c r="BD47" s="482"/>
      <c r="BE47" s="482"/>
      <c r="BF47" s="482"/>
      <c r="BG47" s="482"/>
      <c r="BH47" s="482"/>
      <c r="BI47" s="482"/>
      <c r="BJ47" s="482"/>
      <c r="BK47" s="482"/>
      <c r="BL47" s="482"/>
      <c r="BM47" s="482"/>
      <c r="BN47" s="482"/>
      <c r="BO47" s="482"/>
      <c r="BP47" s="482"/>
      <c r="BQ47" s="482"/>
      <c r="BR47" s="482"/>
      <c r="BS47" s="482"/>
      <c r="BT47" s="482"/>
      <c r="BU47" s="482"/>
      <c r="BV47" s="482"/>
      <c r="BW47" s="482"/>
      <c r="BX47" s="482"/>
      <c r="BY47" s="482"/>
      <c r="BZ47" s="482"/>
      <c r="CA47" s="482"/>
      <c r="CB47" s="482"/>
      <c r="CC47" s="482"/>
      <c r="CD47" s="482"/>
      <c r="CE47" s="482"/>
      <c r="CF47" s="482"/>
      <c r="CG47" s="482"/>
      <c r="CH47" s="484"/>
    </row>
    <row r="48" spans="1:90" s="461" customFormat="1" ht="12" customHeight="1" x14ac:dyDescent="0.15">
      <c r="A48" s="522" t="s">
        <v>3455</v>
      </c>
      <c r="B48" s="467">
        <v>42385</v>
      </c>
      <c r="C48" s="468" t="s">
        <v>3456</v>
      </c>
      <c r="D48" s="468" t="s">
        <v>3457</v>
      </c>
      <c r="E48" s="468" t="s">
        <v>3847</v>
      </c>
      <c r="F48" s="468" t="s">
        <v>3836</v>
      </c>
      <c r="G48" s="466">
        <v>7</v>
      </c>
      <c r="H48" s="465">
        <v>5</v>
      </c>
      <c r="I48" s="466"/>
      <c r="J48" s="466"/>
      <c r="K48" s="466">
        <v>14</v>
      </c>
      <c r="L48" s="464" t="s">
        <v>431</v>
      </c>
      <c r="M48" s="463">
        <v>1309</v>
      </c>
      <c r="N48" s="468" t="s">
        <v>3225</v>
      </c>
      <c r="O48" s="466">
        <v>2</v>
      </c>
      <c r="P48" s="523">
        <v>-1</v>
      </c>
      <c r="Q48" s="462">
        <v>6.8321759259259258E-4</v>
      </c>
      <c r="R48" s="463">
        <v>261</v>
      </c>
      <c r="S48" s="466" t="s">
        <v>625</v>
      </c>
      <c r="T48" s="524"/>
      <c r="W48" s="460"/>
      <c r="AY48" s="486">
        <f t="shared" si="0"/>
        <v>261</v>
      </c>
      <c r="AZ48" s="487" t="str">
        <f t="shared" si="2"/>
        <v/>
      </c>
      <c r="CH48" s="459"/>
    </row>
    <row r="49" spans="1:90" s="461" customFormat="1" ht="12" customHeight="1" x14ac:dyDescent="0.15">
      <c r="A49" s="522" t="s">
        <v>3829</v>
      </c>
      <c r="B49" s="467">
        <v>42385</v>
      </c>
      <c r="C49" s="468" t="s">
        <v>2744</v>
      </c>
      <c r="D49" s="468" t="s">
        <v>3832</v>
      </c>
      <c r="E49" s="468" t="s">
        <v>3846</v>
      </c>
      <c r="F49" s="468" t="s">
        <v>3685</v>
      </c>
      <c r="G49" s="466">
        <v>8</v>
      </c>
      <c r="H49" s="465">
        <v>6.5</v>
      </c>
      <c r="I49" s="466"/>
      <c r="J49" s="466"/>
      <c r="K49" s="466">
        <v>14</v>
      </c>
      <c r="L49" s="464" t="s">
        <v>431</v>
      </c>
      <c r="M49" s="463">
        <v>3364</v>
      </c>
      <c r="N49" s="468" t="s">
        <v>3778</v>
      </c>
      <c r="O49" s="466">
        <v>3</v>
      </c>
      <c r="P49" s="523">
        <v>-2.5</v>
      </c>
      <c r="Q49" s="462">
        <v>9.3935185185185181E-4</v>
      </c>
      <c r="R49" s="463">
        <v>479</v>
      </c>
      <c r="S49" s="466" t="s">
        <v>625</v>
      </c>
      <c r="T49" s="524"/>
      <c r="W49" s="460"/>
      <c r="AY49" s="486">
        <f t="shared" si="0"/>
        <v>479</v>
      </c>
      <c r="AZ49" s="487" t="str">
        <f t="shared" si="2"/>
        <v/>
      </c>
      <c r="CH49" s="459"/>
    </row>
    <row r="50" spans="1:90" s="461" customFormat="1" ht="12" customHeight="1" x14ac:dyDescent="0.15">
      <c r="A50" s="522" t="s">
        <v>3830</v>
      </c>
      <c r="B50" s="467">
        <v>42385</v>
      </c>
      <c r="C50" s="468" t="s">
        <v>3831</v>
      </c>
      <c r="D50" s="468" t="s">
        <v>3833</v>
      </c>
      <c r="E50" s="468" t="s">
        <v>3684</v>
      </c>
      <c r="F50" s="468" t="s">
        <v>3685</v>
      </c>
      <c r="G50" s="466">
        <v>8</v>
      </c>
      <c r="H50" s="465">
        <v>6.5</v>
      </c>
      <c r="I50" s="466"/>
      <c r="J50" s="466"/>
      <c r="K50" s="466">
        <v>14</v>
      </c>
      <c r="L50" s="464" t="s">
        <v>431</v>
      </c>
      <c r="M50" s="463">
        <v>3364</v>
      </c>
      <c r="N50" s="468" t="s">
        <v>3778</v>
      </c>
      <c r="O50" s="466">
        <v>7</v>
      </c>
      <c r="P50" s="523">
        <v>-11.5</v>
      </c>
      <c r="Q50" s="462">
        <v>9.3935185185185181E-4</v>
      </c>
      <c r="R50" s="463">
        <v>65</v>
      </c>
      <c r="S50" s="466" t="s">
        <v>625</v>
      </c>
      <c r="T50" s="524"/>
      <c r="W50" s="460"/>
      <c r="AY50" s="486">
        <f t="shared" si="0"/>
        <v>65</v>
      </c>
      <c r="AZ50" s="487" t="str">
        <f t="shared" si="2"/>
        <v/>
      </c>
      <c r="CH50" s="459"/>
    </row>
    <row r="51" spans="1:90" s="461" customFormat="1" ht="12" customHeight="1" x14ac:dyDescent="0.15">
      <c r="A51" s="522" t="s">
        <v>2164</v>
      </c>
      <c r="B51" s="467">
        <v>42385</v>
      </c>
      <c r="C51" s="468" t="s">
        <v>3701</v>
      </c>
      <c r="D51" s="468" t="s">
        <v>3702</v>
      </c>
      <c r="E51" s="468" t="s">
        <v>3796</v>
      </c>
      <c r="F51" s="468" t="s">
        <v>788</v>
      </c>
      <c r="G51" s="466">
        <v>8</v>
      </c>
      <c r="H51" s="465">
        <v>6</v>
      </c>
      <c r="I51" s="466"/>
      <c r="J51" s="466" t="s">
        <v>961</v>
      </c>
      <c r="K51" s="466">
        <v>6</v>
      </c>
      <c r="L51" s="506">
        <v>20</v>
      </c>
      <c r="M51" s="463">
        <v>75000</v>
      </c>
      <c r="N51" s="457" t="s">
        <v>3703</v>
      </c>
      <c r="O51" s="466">
        <v>6</v>
      </c>
      <c r="P51" s="523">
        <v>-6.25</v>
      </c>
      <c r="Q51" s="462">
        <v>8.2118055555555557E-4</v>
      </c>
      <c r="R51" s="463">
        <v>750</v>
      </c>
      <c r="S51" s="466"/>
      <c r="T51" s="524"/>
      <c r="W51" s="460"/>
      <c r="AY51" s="486" t="str">
        <f t="shared" si="0"/>
        <v/>
      </c>
      <c r="AZ51" s="487" t="str">
        <f t="shared" si="2"/>
        <v/>
      </c>
      <c r="CH51" s="459"/>
    </row>
    <row r="52" spans="1:90" s="469" customFormat="1" ht="12" customHeight="1" x14ac:dyDescent="0.15">
      <c r="A52" s="471" t="s">
        <v>1816</v>
      </c>
      <c r="B52" s="472">
        <v>42385</v>
      </c>
      <c r="C52" s="471" t="s">
        <v>3704</v>
      </c>
      <c r="D52" s="471" t="s">
        <v>3705</v>
      </c>
      <c r="E52" s="471" t="s">
        <v>3188</v>
      </c>
      <c r="F52" s="471" t="s">
        <v>788</v>
      </c>
      <c r="G52" s="473">
        <v>8</v>
      </c>
      <c r="H52" s="474">
        <v>6</v>
      </c>
      <c r="I52" s="475"/>
      <c r="J52" s="475"/>
      <c r="K52" s="473">
        <v>10</v>
      </c>
      <c r="L52" s="485" t="s">
        <v>431</v>
      </c>
      <c r="M52" s="476">
        <v>75000</v>
      </c>
      <c r="N52" s="471" t="s">
        <v>3703</v>
      </c>
      <c r="O52" s="477" t="s">
        <v>431</v>
      </c>
      <c r="P52" s="478" t="s">
        <v>431</v>
      </c>
      <c r="Q52" s="479" t="s">
        <v>431</v>
      </c>
      <c r="R52" s="480" t="s">
        <v>431</v>
      </c>
      <c r="S52" s="477"/>
      <c r="T52" s="481" t="s">
        <v>3797</v>
      </c>
      <c r="U52" s="482"/>
      <c r="V52" s="482"/>
      <c r="W52" s="483"/>
      <c r="X52" s="482"/>
      <c r="Y52" s="482"/>
      <c r="Z52" s="482"/>
      <c r="AA52" s="482"/>
      <c r="AB52" s="482"/>
      <c r="AC52" s="482"/>
      <c r="AD52" s="482"/>
      <c r="AE52" s="482"/>
      <c r="AF52" s="482"/>
      <c r="AG52" s="482"/>
      <c r="AH52" s="482"/>
      <c r="AI52" s="482"/>
      <c r="AJ52" s="482"/>
      <c r="AK52" s="482"/>
      <c r="AL52" s="482"/>
      <c r="AM52" s="482"/>
      <c r="AN52" s="482"/>
      <c r="AO52" s="482"/>
      <c r="AP52" s="482"/>
      <c r="AQ52" s="482"/>
      <c r="AR52" s="482"/>
      <c r="AS52" s="482"/>
      <c r="AT52" s="482"/>
      <c r="AU52" s="482"/>
      <c r="AV52" s="482"/>
      <c r="AW52" s="482"/>
      <c r="AX52" s="482"/>
      <c r="AY52" s="486" t="str">
        <f t="shared" si="0"/>
        <v/>
      </c>
      <c r="AZ52" s="487" t="str">
        <f t="shared" si="2"/>
        <v/>
      </c>
      <c r="BA52" s="482"/>
      <c r="BB52" s="482"/>
      <c r="BC52" s="482"/>
      <c r="BD52" s="482"/>
      <c r="BE52" s="482"/>
      <c r="BF52" s="482"/>
      <c r="BG52" s="482"/>
      <c r="BH52" s="482"/>
      <c r="BI52" s="482"/>
      <c r="BJ52" s="482"/>
      <c r="BK52" s="482"/>
      <c r="BL52" s="482"/>
      <c r="BM52" s="482"/>
      <c r="BN52" s="482"/>
      <c r="BO52" s="482"/>
      <c r="BP52" s="482"/>
      <c r="BQ52" s="482"/>
      <c r="BR52" s="482"/>
      <c r="BS52" s="482"/>
      <c r="BT52" s="482"/>
      <c r="BU52" s="482"/>
      <c r="BV52" s="482"/>
      <c r="BW52" s="482"/>
      <c r="BX52" s="482"/>
      <c r="BY52" s="482"/>
      <c r="BZ52" s="482"/>
      <c r="CA52" s="482"/>
      <c r="CB52" s="482"/>
      <c r="CC52" s="482"/>
      <c r="CD52" s="482"/>
      <c r="CE52" s="482"/>
      <c r="CF52" s="482"/>
      <c r="CG52" s="482"/>
      <c r="CH52" s="484"/>
    </row>
    <row r="53" spans="1:90" s="461" customFormat="1" ht="12" customHeight="1" x14ac:dyDescent="0.15">
      <c r="A53" s="522" t="s">
        <v>1295</v>
      </c>
      <c r="B53" s="467">
        <v>42385</v>
      </c>
      <c r="C53" s="468" t="s">
        <v>646</v>
      </c>
      <c r="D53" s="468" t="s">
        <v>3751</v>
      </c>
      <c r="E53" s="468" t="s">
        <v>3857</v>
      </c>
      <c r="F53" s="468" t="s">
        <v>540</v>
      </c>
      <c r="G53" s="466">
        <v>10</v>
      </c>
      <c r="H53" s="465">
        <v>8.5</v>
      </c>
      <c r="I53" s="466" t="s">
        <v>3730</v>
      </c>
      <c r="J53" s="466" t="s">
        <v>961</v>
      </c>
      <c r="K53" s="466">
        <v>11</v>
      </c>
      <c r="L53" s="506">
        <v>6</v>
      </c>
      <c r="M53" s="463">
        <v>150000</v>
      </c>
      <c r="N53" s="457" t="s">
        <v>3752</v>
      </c>
      <c r="O53" s="466">
        <v>5</v>
      </c>
      <c r="P53" s="523">
        <v>-4</v>
      </c>
      <c r="Q53" s="462">
        <v>1.2140046296296295E-3</v>
      </c>
      <c r="R53" s="463">
        <v>4230</v>
      </c>
      <c r="S53" s="466"/>
      <c r="T53" s="524"/>
      <c r="W53" s="460"/>
      <c r="AY53" s="486" t="str">
        <f t="shared" si="0"/>
        <v/>
      </c>
      <c r="AZ53" s="487" t="str">
        <f t="shared" si="2"/>
        <v/>
      </c>
      <c r="CH53" s="459"/>
    </row>
    <row r="54" spans="1:90" s="469" customFormat="1" ht="12" customHeight="1" x14ac:dyDescent="0.15">
      <c r="A54" s="444" t="s">
        <v>3263</v>
      </c>
      <c r="B54" s="445">
        <v>42385</v>
      </c>
      <c r="C54" s="446" t="s">
        <v>3719</v>
      </c>
      <c r="D54" s="446" t="s">
        <v>3721</v>
      </c>
      <c r="E54" s="446" t="s">
        <v>3720</v>
      </c>
      <c r="F54" s="446" t="s">
        <v>993</v>
      </c>
      <c r="G54" s="447">
        <v>3</v>
      </c>
      <c r="H54" s="448">
        <v>6.5</v>
      </c>
      <c r="I54" s="447"/>
      <c r="J54" s="447"/>
      <c r="K54" s="447">
        <v>8</v>
      </c>
      <c r="L54" s="449">
        <v>6</v>
      </c>
      <c r="M54" s="450">
        <v>24500</v>
      </c>
      <c r="N54" s="446" t="s">
        <v>3225</v>
      </c>
      <c r="O54" s="447">
        <v>1</v>
      </c>
      <c r="P54" s="451">
        <v>0.5</v>
      </c>
      <c r="Q54" s="452">
        <v>9.2175925925925921E-4</v>
      </c>
      <c r="R54" s="450">
        <v>14580</v>
      </c>
      <c r="S54" s="447"/>
      <c r="T54" s="453"/>
      <c r="U54" s="454"/>
      <c r="V54" s="454"/>
      <c r="W54" s="455"/>
      <c r="X54" s="454"/>
      <c r="Y54" s="454"/>
      <c r="Z54" s="454"/>
      <c r="AA54" s="454"/>
      <c r="AB54" s="454"/>
      <c r="AC54" s="454"/>
      <c r="AD54" s="454"/>
      <c r="AE54" s="454"/>
      <c r="AF54" s="454"/>
      <c r="AG54" s="454"/>
      <c r="AH54" s="454"/>
      <c r="AI54" s="454"/>
      <c r="AJ54" s="454"/>
      <c r="AK54" s="454"/>
      <c r="AL54" s="454"/>
      <c r="AM54" s="454"/>
      <c r="AN54" s="454"/>
      <c r="AO54" s="454"/>
      <c r="AP54" s="454"/>
      <c r="AQ54" s="454"/>
      <c r="AR54" s="454"/>
      <c r="AS54" s="454"/>
      <c r="AT54" s="454"/>
      <c r="AU54" s="454"/>
      <c r="AV54" s="454"/>
      <c r="AW54" s="454"/>
      <c r="AX54" s="454"/>
      <c r="AY54" s="486" t="str">
        <f t="shared" si="0"/>
        <v/>
      </c>
      <c r="AZ54" s="487">
        <f t="shared" si="2"/>
        <v>1</v>
      </c>
      <c r="BA54" s="454"/>
      <c r="BB54" s="454"/>
      <c r="BC54" s="454"/>
      <c r="BD54" s="454"/>
      <c r="BE54" s="454"/>
      <c r="BF54" s="454"/>
      <c r="BG54" s="454"/>
      <c r="BH54" s="454"/>
      <c r="BI54" s="454"/>
      <c r="BJ54" s="454"/>
      <c r="BK54" s="454"/>
      <c r="BL54" s="454"/>
      <c r="BM54" s="454"/>
      <c r="BN54" s="454"/>
      <c r="BO54" s="454"/>
      <c r="BP54" s="454"/>
      <c r="BQ54" s="454"/>
      <c r="BR54" s="454"/>
      <c r="BS54" s="454"/>
      <c r="BT54" s="454"/>
      <c r="BU54" s="454"/>
      <c r="BV54" s="454"/>
      <c r="BW54" s="454"/>
      <c r="BX54" s="454"/>
      <c r="BY54" s="454"/>
      <c r="BZ54" s="454"/>
      <c r="CA54" s="454"/>
      <c r="CB54" s="454"/>
      <c r="CC54" s="454"/>
      <c r="CD54" s="454"/>
      <c r="CE54" s="454"/>
      <c r="CF54" s="454"/>
      <c r="CG54" s="454"/>
      <c r="CH54" s="456"/>
      <c r="CI54" s="454"/>
      <c r="CJ54" s="454"/>
      <c r="CK54" s="454"/>
      <c r="CL54" s="454"/>
    </row>
    <row r="55" spans="1:90" s="461" customFormat="1" ht="12" customHeight="1" x14ac:dyDescent="0.15">
      <c r="A55" s="522" t="s">
        <v>42</v>
      </c>
      <c r="B55" s="467">
        <v>42385</v>
      </c>
      <c r="C55" s="468" t="s">
        <v>3765</v>
      </c>
      <c r="D55" s="468" t="s">
        <v>3764</v>
      </c>
      <c r="E55" s="468" t="s">
        <v>3738</v>
      </c>
      <c r="F55" s="468" t="s">
        <v>257</v>
      </c>
      <c r="G55" s="466">
        <v>9</v>
      </c>
      <c r="H55" s="465">
        <v>8</v>
      </c>
      <c r="I55" s="466"/>
      <c r="J55" s="466" t="s">
        <v>960</v>
      </c>
      <c r="K55" s="466">
        <v>10</v>
      </c>
      <c r="L55" s="506">
        <v>8</v>
      </c>
      <c r="M55" s="463">
        <v>13500</v>
      </c>
      <c r="N55" s="457" t="s">
        <v>3763</v>
      </c>
      <c r="O55" s="466">
        <v>2</v>
      </c>
      <c r="P55" s="523">
        <v>-0.75</v>
      </c>
      <c r="Q55" s="462">
        <v>1.1923611111111113E-3</v>
      </c>
      <c r="R55" s="463">
        <v>3500</v>
      </c>
      <c r="S55" s="466"/>
      <c r="T55" s="524"/>
      <c r="W55" s="460"/>
      <c r="AY55" s="486" t="str">
        <f t="shared" si="0"/>
        <v/>
      </c>
      <c r="AZ55" s="487" t="str">
        <f t="shared" si="2"/>
        <v/>
      </c>
      <c r="CH55" s="459"/>
    </row>
    <row r="56" spans="1:90" s="461" customFormat="1" ht="12" customHeight="1" x14ac:dyDescent="0.15">
      <c r="A56" s="522" t="s">
        <v>3222</v>
      </c>
      <c r="B56" s="467">
        <v>42386</v>
      </c>
      <c r="C56" s="468" t="s">
        <v>3223</v>
      </c>
      <c r="D56" s="468" t="s">
        <v>3192</v>
      </c>
      <c r="E56" s="468" t="s">
        <v>3699</v>
      </c>
      <c r="F56" s="468" t="s">
        <v>3686</v>
      </c>
      <c r="G56" s="466">
        <v>1</v>
      </c>
      <c r="H56" s="465">
        <v>7</v>
      </c>
      <c r="I56" s="466"/>
      <c r="J56" s="466"/>
      <c r="K56" s="466">
        <v>8</v>
      </c>
      <c r="L56" s="464" t="s">
        <v>431</v>
      </c>
      <c r="M56" s="463">
        <v>7560</v>
      </c>
      <c r="N56" s="457" t="s">
        <v>3225</v>
      </c>
      <c r="O56" s="466">
        <v>5</v>
      </c>
      <c r="P56" s="523">
        <v>-8.5</v>
      </c>
      <c r="Q56" s="462">
        <v>9.8020833333333337E-4</v>
      </c>
      <c r="R56" s="463">
        <v>99</v>
      </c>
      <c r="S56" s="466" t="s">
        <v>625</v>
      </c>
      <c r="T56" s="524"/>
      <c r="W56" s="460"/>
      <c r="AY56" s="486">
        <f t="shared" si="0"/>
        <v>99</v>
      </c>
      <c r="AZ56" s="487" t="str">
        <f t="shared" si="2"/>
        <v/>
      </c>
      <c r="CH56" s="459"/>
    </row>
    <row r="57" spans="1:90" s="461" customFormat="1" ht="12" customHeight="1" x14ac:dyDescent="0.15">
      <c r="A57" s="522" t="s">
        <v>3834</v>
      </c>
      <c r="B57" s="467">
        <v>42386</v>
      </c>
      <c r="C57" s="468" t="s">
        <v>3835</v>
      </c>
      <c r="D57" s="468" t="s">
        <v>3192</v>
      </c>
      <c r="E57" s="468" t="s">
        <v>3848</v>
      </c>
      <c r="F57" s="468" t="s">
        <v>3686</v>
      </c>
      <c r="G57" s="466">
        <v>5</v>
      </c>
      <c r="H57" s="465">
        <v>7</v>
      </c>
      <c r="I57" s="466"/>
      <c r="J57" s="466"/>
      <c r="K57" s="466">
        <v>8</v>
      </c>
      <c r="L57" s="464" t="s">
        <v>431</v>
      </c>
      <c r="M57" s="463">
        <v>7560</v>
      </c>
      <c r="N57" s="457" t="s">
        <v>3225</v>
      </c>
      <c r="O57" s="466">
        <v>7</v>
      </c>
      <c r="P57" s="523">
        <v>-11.25</v>
      </c>
      <c r="Q57" s="462">
        <v>9.7708333333333349E-4</v>
      </c>
      <c r="R57" s="463">
        <v>99</v>
      </c>
      <c r="S57" s="466" t="s">
        <v>625</v>
      </c>
      <c r="T57" s="524"/>
      <c r="W57" s="460"/>
      <c r="AY57" s="486">
        <f t="shared" si="0"/>
        <v>99</v>
      </c>
      <c r="AZ57" s="487" t="str">
        <f t="shared" si="2"/>
        <v/>
      </c>
      <c r="CH57" s="459"/>
    </row>
    <row r="58" spans="1:90" s="469" customFormat="1" ht="12" customHeight="1" x14ac:dyDescent="0.15">
      <c r="A58" s="471" t="s">
        <v>3886</v>
      </c>
      <c r="B58" s="472">
        <v>42386</v>
      </c>
      <c r="C58" s="471" t="s">
        <v>3289</v>
      </c>
      <c r="D58" s="471" t="s">
        <v>3213</v>
      </c>
      <c r="E58" s="471" t="s">
        <v>3684</v>
      </c>
      <c r="F58" s="471" t="s">
        <v>3686</v>
      </c>
      <c r="G58" s="473">
        <v>5</v>
      </c>
      <c r="H58" s="474">
        <v>7</v>
      </c>
      <c r="I58" s="475"/>
      <c r="J58" s="475"/>
      <c r="K58" s="473">
        <v>8</v>
      </c>
      <c r="L58" s="485" t="s">
        <v>431</v>
      </c>
      <c r="M58" s="476">
        <v>7560</v>
      </c>
      <c r="N58" s="471" t="s">
        <v>3225</v>
      </c>
      <c r="O58" s="477" t="s">
        <v>431</v>
      </c>
      <c r="P58" s="478" t="s">
        <v>431</v>
      </c>
      <c r="Q58" s="479" t="s">
        <v>431</v>
      </c>
      <c r="R58" s="480" t="s">
        <v>431</v>
      </c>
      <c r="S58" s="477" t="s">
        <v>625</v>
      </c>
      <c r="T58" s="481" t="s">
        <v>3887</v>
      </c>
      <c r="U58" s="482"/>
      <c r="V58" s="482"/>
      <c r="W58" s="483"/>
      <c r="X58" s="482"/>
      <c r="Y58" s="482"/>
      <c r="Z58" s="482"/>
      <c r="AA58" s="482"/>
      <c r="AB58" s="482"/>
      <c r="AC58" s="482"/>
      <c r="AD58" s="482"/>
      <c r="AE58" s="482"/>
      <c r="AF58" s="482"/>
      <c r="AG58" s="482"/>
      <c r="AH58" s="482"/>
      <c r="AI58" s="482"/>
      <c r="AJ58" s="482"/>
      <c r="AK58" s="482"/>
      <c r="AL58" s="482"/>
      <c r="AM58" s="482"/>
      <c r="AN58" s="482"/>
      <c r="AO58" s="482"/>
      <c r="AP58" s="482"/>
      <c r="AQ58" s="482"/>
      <c r="AR58" s="482"/>
      <c r="AS58" s="482"/>
      <c r="AT58" s="482"/>
      <c r="AU58" s="482"/>
      <c r="AV58" s="482"/>
      <c r="AW58" s="482"/>
      <c r="AX58" s="482"/>
      <c r="AY58" s="486" t="str">
        <f t="shared" si="0"/>
        <v>--</v>
      </c>
      <c r="AZ58" s="487" t="str">
        <f t="shared" si="2"/>
        <v/>
      </c>
      <c r="BA58" s="482"/>
      <c r="BB58" s="482"/>
      <c r="BC58" s="482"/>
      <c r="BD58" s="482"/>
      <c r="BE58" s="482"/>
      <c r="BF58" s="482"/>
      <c r="BG58" s="482"/>
      <c r="BH58" s="482"/>
      <c r="BI58" s="482"/>
      <c r="BJ58" s="482"/>
      <c r="BK58" s="482"/>
      <c r="BL58" s="482"/>
      <c r="BM58" s="482"/>
      <c r="BN58" s="482"/>
      <c r="BO58" s="482"/>
      <c r="BP58" s="482"/>
      <c r="BQ58" s="482"/>
      <c r="BR58" s="482"/>
      <c r="BS58" s="482"/>
      <c r="BT58" s="482"/>
      <c r="BU58" s="482"/>
      <c r="BV58" s="482"/>
      <c r="BW58" s="482"/>
      <c r="BX58" s="482"/>
      <c r="BY58" s="482"/>
      <c r="BZ58" s="482"/>
      <c r="CA58" s="482"/>
      <c r="CB58" s="482"/>
      <c r="CC58" s="482"/>
      <c r="CD58" s="482"/>
      <c r="CE58" s="482"/>
      <c r="CF58" s="482"/>
      <c r="CG58" s="482"/>
      <c r="CH58" s="484"/>
    </row>
    <row r="59" spans="1:90" s="461" customFormat="1" ht="12" customHeight="1" x14ac:dyDescent="0.15">
      <c r="A59" s="522" t="s">
        <v>2228</v>
      </c>
      <c r="B59" s="467">
        <v>42386</v>
      </c>
      <c r="C59" s="468" t="s">
        <v>3866</v>
      </c>
      <c r="D59" s="468" t="s">
        <v>3867</v>
      </c>
      <c r="E59" s="468" t="s">
        <v>3868</v>
      </c>
      <c r="F59" s="468" t="s">
        <v>439</v>
      </c>
      <c r="G59" s="466">
        <v>1</v>
      </c>
      <c r="H59" s="465">
        <v>6</v>
      </c>
      <c r="I59" s="466"/>
      <c r="J59" s="466"/>
      <c r="K59" s="466">
        <v>11</v>
      </c>
      <c r="L59" s="506">
        <v>20</v>
      </c>
      <c r="M59" s="463">
        <v>21000</v>
      </c>
      <c r="N59" s="457" t="s">
        <v>3869</v>
      </c>
      <c r="O59" s="466">
        <v>11</v>
      </c>
      <c r="P59" s="523">
        <v>-21.5</v>
      </c>
      <c r="Q59" s="462">
        <v>8.4872685185185181E-4</v>
      </c>
      <c r="R59" s="463">
        <v>70</v>
      </c>
      <c r="S59" s="466"/>
      <c r="T59" s="524"/>
      <c r="W59" s="460"/>
      <c r="AY59" s="486" t="str">
        <f t="shared" si="0"/>
        <v/>
      </c>
      <c r="AZ59" s="487" t="str">
        <f t="shared" si="2"/>
        <v/>
      </c>
      <c r="CH59" s="459"/>
    </row>
    <row r="60" spans="1:90" s="461" customFormat="1" ht="12" customHeight="1" x14ac:dyDescent="0.15">
      <c r="A60" s="522" t="s">
        <v>984</v>
      </c>
      <c r="B60" s="467">
        <v>42386</v>
      </c>
      <c r="C60" s="468" t="s">
        <v>3759</v>
      </c>
      <c r="D60" s="468" t="s">
        <v>3760</v>
      </c>
      <c r="E60" s="468" t="s">
        <v>3761</v>
      </c>
      <c r="F60" s="468" t="s">
        <v>680</v>
      </c>
      <c r="G60" s="466">
        <v>3</v>
      </c>
      <c r="H60" s="465">
        <v>6</v>
      </c>
      <c r="I60" s="466" t="s">
        <v>1360</v>
      </c>
      <c r="J60" s="466"/>
      <c r="K60" s="466">
        <v>10</v>
      </c>
      <c r="L60" s="506">
        <v>10</v>
      </c>
      <c r="M60" s="463">
        <v>7100</v>
      </c>
      <c r="N60" s="457" t="s">
        <v>3762</v>
      </c>
      <c r="O60" s="466">
        <v>6</v>
      </c>
      <c r="P60" s="523">
        <v>-6</v>
      </c>
      <c r="Q60" s="462">
        <v>9.3518518518518516E-4</v>
      </c>
      <c r="R60" s="463">
        <v>71</v>
      </c>
      <c r="S60" s="466"/>
      <c r="T60" s="524"/>
      <c r="W60" s="460"/>
      <c r="AY60" s="486" t="str">
        <f t="shared" si="0"/>
        <v/>
      </c>
      <c r="AZ60" s="487" t="str">
        <f t="shared" si="2"/>
        <v/>
      </c>
      <c r="CH60" s="459"/>
    </row>
    <row r="61" spans="1:90" s="461" customFormat="1" ht="12" customHeight="1" x14ac:dyDescent="0.15">
      <c r="A61" s="522" t="s">
        <v>3470</v>
      </c>
      <c r="B61" s="467">
        <v>42386</v>
      </c>
      <c r="C61" s="468" t="s">
        <v>3471</v>
      </c>
      <c r="D61" s="468" t="s">
        <v>3472</v>
      </c>
      <c r="E61" s="468" t="s">
        <v>3683</v>
      </c>
      <c r="F61" s="468" t="s">
        <v>3686</v>
      </c>
      <c r="G61" s="466">
        <v>10</v>
      </c>
      <c r="H61" s="465">
        <v>6</v>
      </c>
      <c r="I61" s="466"/>
      <c r="J61" s="466"/>
      <c r="K61" s="466">
        <v>11</v>
      </c>
      <c r="L61" s="464" t="s">
        <v>431</v>
      </c>
      <c r="M61" s="463">
        <v>6130</v>
      </c>
      <c r="N61" s="468" t="s">
        <v>3653</v>
      </c>
      <c r="O61" s="466">
        <v>4</v>
      </c>
      <c r="P61" s="523">
        <v>-2.5</v>
      </c>
      <c r="Q61" s="462">
        <v>8.3645833333333326E-4</v>
      </c>
      <c r="R61" s="463">
        <v>366</v>
      </c>
      <c r="S61" s="466" t="s">
        <v>625</v>
      </c>
      <c r="T61" s="524"/>
      <c r="W61" s="460"/>
      <c r="AY61" s="486">
        <f t="shared" si="0"/>
        <v>366</v>
      </c>
      <c r="AZ61" s="487" t="str">
        <f t="shared" si="2"/>
        <v/>
      </c>
      <c r="CH61" s="459"/>
    </row>
    <row r="62" spans="1:90" s="461" customFormat="1" ht="12" customHeight="1" x14ac:dyDescent="0.15">
      <c r="A62" s="522" t="s">
        <v>3496</v>
      </c>
      <c r="B62" s="467">
        <v>42386</v>
      </c>
      <c r="C62" s="468" t="s">
        <v>3498</v>
      </c>
      <c r="D62" s="468" t="s">
        <v>3331</v>
      </c>
      <c r="E62" s="468" t="s">
        <v>3684</v>
      </c>
      <c r="F62" s="468" t="s">
        <v>3686</v>
      </c>
      <c r="G62" s="466">
        <v>12</v>
      </c>
      <c r="H62" s="465">
        <v>5.5</v>
      </c>
      <c r="I62" s="466"/>
      <c r="J62" s="466"/>
      <c r="K62" s="466">
        <v>12</v>
      </c>
      <c r="L62" s="465" t="s">
        <v>431</v>
      </c>
      <c r="M62" s="463">
        <v>3596</v>
      </c>
      <c r="N62" s="468" t="s">
        <v>3653</v>
      </c>
      <c r="O62" s="466">
        <v>8</v>
      </c>
      <c r="P62" s="523">
        <v>-12.5</v>
      </c>
      <c r="Q62" s="462">
        <v>7.6446759259259263E-4</v>
      </c>
      <c r="R62" s="463">
        <v>99</v>
      </c>
      <c r="S62" s="466" t="s">
        <v>625</v>
      </c>
      <c r="T62" s="524"/>
      <c r="W62" s="460"/>
      <c r="AY62" s="486">
        <f t="shared" si="0"/>
        <v>99</v>
      </c>
      <c r="AZ62" s="487" t="str">
        <f t="shared" si="2"/>
        <v/>
      </c>
      <c r="CH62" s="459"/>
    </row>
    <row r="63" spans="1:90" s="461" customFormat="1" ht="12" customHeight="1" x14ac:dyDescent="0.15">
      <c r="A63" s="522" t="s">
        <v>3064</v>
      </c>
      <c r="B63" s="467">
        <v>42387</v>
      </c>
      <c r="C63" s="468" t="s">
        <v>2511</v>
      </c>
      <c r="D63" s="468" t="s">
        <v>3877</v>
      </c>
      <c r="E63" s="468" t="s">
        <v>3878</v>
      </c>
      <c r="F63" s="468" t="s">
        <v>788</v>
      </c>
      <c r="G63" s="466">
        <v>5</v>
      </c>
      <c r="H63" s="465">
        <v>6</v>
      </c>
      <c r="I63" s="466"/>
      <c r="J63" s="466"/>
      <c r="K63" s="466">
        <v>9</v>
      </c>
      <c r="L63" s="525">
        <v>20</v>
      </c>
      <c r="M63" s="463">
        <v>40000</v>
      </c>
      <c r="N63" s="468" t="s">
        <v>3879</v>
      </c>
      <c r="O63" s="466">
        <v>7</v>
      </c>
      <c r="P63" s="523">
        <v>-8.5</v>
      </c>
      <c r="Q63" s="462">
        <v>8.5717592592592584E-4</v>
      </c>
      <c r="R63" s="463">
        <v>0</v>
      </c>
      <c r="S63" s="466"/>
      <c r="T63" s="524"/>
      <c r="W63" s="460"/>
      <c r="AY63" s="486" t="str">
        <f t="shared" si="0"/>
        <v/>
      </c>
      <c r="AZ63" s="487" t="str">
        <f t="shared" si="2"/>
        <v/>
      </c>
      <c r="CH63" s="459"/>
    </row>
    <row r="64" spans="1:90" s="461" customFormat="1" ht="12" customHeight="1" x14ac:dyDescent="0.15">
      <c r="A64" s="522" t="s">
        <v>2155</v>
      </c>
      <c r="B64" s="467">
        <v>42387</v>
      </c>
      <c r="C64" s="468" t="s">
        <v>1767</v>
      </c>
      <c r="D64" s="468" t="s">
        <v>3881</v>
      </c>
      <c r="E64" s="468" t="s">
        <v>3880</v>
      </c>
      <c r="F64" s="468" t="s">
        <v>788</v>
      </c>
      <c r="G64" s="466">
        <v>8</v>
      </c>
      <c r="H64" s="465">
        <v>8.5</v>
      </c>
      <c r="I64" s="466"/>
      <c r="J64" s="466"/>
      <c r="K64" s="466">
        <v>6</v>
      </c>
      <c r="L64" s="525">
        <v>12</v>
      </c>
      <c r="M64" s="463">
        <v>45000</v>
      </c>
      <c r="N64" s="468" t="s">
        <v>3882</v>
      </c>
      <c r="O64" s="466">
        <v>6</v>
      </c>
      <c r="P64" s="523">
        <v>-12.5</v>
      </c>
      <c r="Q64" s="462">
        <v>1.2234953703703704E-3</v>
      </c>
      <c r="R64" s="463">
        <v>900</v>
      </c>
      <c r="S64" s="466"/>
      <c r="T64" s="524"/>
      <c r="W64" s="460"/>
      <c r="AY64" s="486" t="str">
        <f t="shared" si="0"/>
        <v/>
      </c>
      <c r="AZ64" s="487" t="str">
        <f t="shared" si="2"/>
        <v/>
      </c>
      <c r="CH64" s="459"/>
    </row>
    <row r="65" spans="1:90" s="469" customFormat="1" ht="12" customHeight="1" x14ac:dyDescent="0.15">
      <c r="A65" s="471" t="s">
        <v>2467</v>
      </c>
      <c r="B65" s="472">
        <v>42387</v>
      </c>
      <c r="C65" s="471" t="s">
        <v>3186</v>
      </c>
      <c r="D65" s="471" t="s">
        <v>5144</v>
      </c>
      <c r="E65" s="471" t="s">
        <v>3871</v>
      </c>
      <c r="F65" s="471" t="s">
        <v>525</v>
      </c>
      <c r="G65" s="473">
        <v>9</v>
      </c>
      <c r="H65" s="474">
        <v>8.3000000000000007</v>
      </c>
      <c r="I65" s="475"/>
      <c r="J65" s="475"/>
      <c r="K65" s="473">
        <v>10</v>
      </c>
      <c r="L65" s="458">
        <v>30</v>
      </c>
      <c r="M65" s="476">
        <v>31000</v>
      </c>
      <c r="N65" s="471" t="s">
        <v>3651</v>
      </c>
      <c r="O65" s="477" t="s">
        <v>431</v>
      </c>
      <c r="P65" s="478" t="s">
        <v>431</v>
      </c>
      <c r="Q65" s="479" t="s">
        <v>431</v>
      </c>
      <c r="R65" s="480" t="s">
        <v>431</v>
      </c>
      <c r="S65" s="477"/>
      <c r="T65" s="481" t="s">
        <v>3906</v>
      </c>
      <c r="U65" s="482"/>
      <c r="V65" s="482"/>
      <c r="W65" s="483"/>
      <c r="X65" s="482"/>
      <c r="Y65" s="482"/>
      <c r="Z65" s="482"/>
      <c r="AA65" s="482"/>
      <c r="AB65" s="482"/>
      <c r="AC65" s="482"/>
      <c r="AD65" s="482"/>
      <c r="AE65" s="482"/>
      <c r="AF65" s="482"/>
      <c r="AG65" s="482"/>
      <c r="AH65" s="482"/>
      <c r="AI65" s="482"/>
      <c r="AJ65" s="482"/>
      <c r="AK65" s="482"/>
      <c r="AL65" s="482"/>
      <c r="AM65" s="482"/>
      <c r="AN65" s="482"/>
      <c r="AO65" s="482"/>
      <c r="AP65" s="482"/>
      <c r="AQ65" s="482"/>
      <c r="AR65" s="482"/>
      <c r="AS65" s="482"/>
      <c r="AT65" s="482"/>
      <c r="AU65" s="482"/>
      <c r="AV65" s="482"/>
      <c r="AW65" s="482"/>
      <c r="AX65" s="482"/>
      <c r="AY65" s="486" t="str">
        <f t="shared" si="0"/>
        <v/>
      </c>
      <c r="AZ65" s="487" t="str">
        <f t="shared" si="2"/>
        <v/>
      </c>
      <c r="BA65" s="482"/>
      <c r="BB65" s="482"/>
      <c r="BC65" s="482"/>
      <c r="BD65" s="482"/>
      <c r="BE65" s="482"/>
      <c r="BF65" s="482"/>
      <c r="BG65" s="482"/>
      <c r="BH65" s="482"/>
      <c r="BI65" s="482"/>
      <c r="BJ65" s="482"/>
      <c r="BK65" s="482"/>
      <c r="BL65" s="482"/>
      <c r="BM65" s="482"/>
      <c r="BN65" s="482"/>
      <c r="BO65" s="482"/>
      <c r="BP65" s="482"/>
      <c r="BQ65" s="482"/>
      <c r="BR65" s="482"/>
      <c r="BS65" s="482"/>
      <c r="BT65" s="482"/>
      <c r="BU65" s="482"/>
      <c r="BV65" s="482"/>
      <c r="BW65" s="482"/>
      <c r="BX65" s="482"/>
      <c r="BY65" s="482"/>
      <c r="BZ65" s="482"/>
      <c r="CA65" s="482"/>
      <c r="CB65" s="482"/>
      <c r="CC65" s="482"/>
      <c r="CD65" s="482"/>
      <c r="CE65" s="482"/>
      <c r="CF65" s="482"/>
      <c r="CG65" s="482"/>
      <c r="CH65" s="484"/>
    </row>
    <row r="66" spans="1:90" s="469" customFormat="1" ht="12" customHeight="1" x14ac:dyDescent="0.15">
      <c r="A66" s="471" t="s">
        <v>3694</v>
      </c>
      <c r="B66" s="472">
        <v>42390</v>
      </c>
      <c r="C66" s="471" t="s">
        <v>3719</v>
      </c>
      <c r="D66" s="471" t="s">
        <v>3721</v>
      </c>
      <c r="E66" s="471" t="s">
        <v>3720</v>
      </c>
      <c r="F66" s="471" t="s">
        <v>993</v>
      </c>
      <c r="G66" s="473">
        <v>5</v>
      </c>
      <c r="H66" s="474">
        <v>6.5</v>
      </c>
      <c r="I66" s="475"/>
      <c r="J66" s="475"/>
      <c r="K66" s="473">
        <v>10</v>
      </c>
      <c r="L66" s="458">
        <v>15</v>
      </c>
      <c r="M66" s="476">
        <v>23000</v>
      </c>
      <c r="N66" s="471" t="s">
        <v>3718</v>
      </c>
      <c r="O66" s="477" t="s">
        <v>431</v>
      </c>
      <c r="P66" s="478" t="s">
        <v>431</v>
      </c>
      <c r="Q66" s="479" t="s">
        <v>431</v>
      </c>
      <c r="R66" s="480" t="s">
        <v>431</v>
      </c>
      <c r="S66" s="477"/>
      <c r="T66" s="481" t="s">
        <v>3907</v>
      </c>
      <c r="U66" s="482"/>
      <c r="V66" s="482"/>
      <c r="W66" s="483"/>
      <c r="X66" s="482"/>
      <c r="Y66" s="482"/>
      <c r="Z66" s="482"/>
      <c r="AA66" s="482"/>
      <c r="AB66" s="482"/>
      <c r="AC66" s="482"/>
      <c r="AD66" s="482"/>
      <c r="AE66" s="482"/>
      <c r="AF66" s="482"/>
      <c r="AG66" s="482"/>
      <c r="AH66" s="482"/>
      <c r="AI66" s="482"/>
      <c r="AJ66" s="482"/>
      <c r="AK66" s="482"/>
      <c r="AL66" s="482"/>
      <c r="AM66" s="482"/>
      <c r="AN66" s="482"/>
      <c r="AO66" s="482"/>
      <c r="AP66" s="482"/>
      <c r="AQ66" s="482"/>
      <c r="AR66" s="482"/>
      <c r="AS66" s="482"/>
      <c r="AT66" s="482"/>
      <c r="AU66" s="482"/>
      <c r="AV66" s="482"/>
      <c r="AW66" s="482"/>
      <c r="AX66" s="482"/>
      <c r="AY66" s="486" t="str">
        <f t="shared" si="0"/>
        <v/>
      </c>
      <c r="AZ66" s="487" t="str">
        <f t="shared" si="2"/>
        <v/>
      </c>
      <c r="BA66" s="482"/>
      <c r="BB66" s="482"/>
      <c r="BC66" s="482"/>
      <c r="BD66" s="482"/>
      <c r="BE66" s="482"/>
      <c r="BF66" s="482"/>
      <c r="BG66" s="482"/>
      <c r="BH66" s="482"/>
      <c r="BI66" s="482"/>
      <c r="BJ66" s="482"/>
      <c r="BK66" s="482"/>
      <c r="BL66" s="482"/>
      <c r="BM66" s="482"/>
      <c r="BN66" s="482"/>
      <c r="BO66" s="482"/>
      <c r="BP66" s="482"/>
      <c r="BQ66" s="482"/>
      <c r="BR66" s="482"/>
      <c r="BS66" s="482"/>
      <c r="BT66" s="482"/>
      <c r="BU66" s="482"/>
      <c r="BV66" s="482"/>
      <c r="BW66" s="482"/>
      <c r="BX66" s="482"/>
      <c r="BY66" s="482"/>
      <c r="BZ66" s="482"/>
      <c r="CA66" s="482"/>
      <c r="CB66" s="482"/>
      <c r="CC66" s="482"/>
      <c r="CD66" s="482"/>
      <c r="CE66" s="482"/>
      <c r="CF66" s="482"/>
      <c r="CG66" s="482"/>
      <c r="CH66" s="484"/>
    </row>
    <row r="67" spans="1:90" s="461" customFormat="1" ht="12" customHeight="1" x14ac:dyDescent="0.15">
      <c r="A67" s="522" t="s">
        <v>321</v>
      </c>
      <c r="B67" s="467">
        <v>42391</v>
      </c>
      <c r="C67" s="468" t="s">
        <v>3894</v>
      </c>
      <c r="D67" s="468" t="s">
        <v>3891</v>
      </c>
      <c r="E67" s="468" t="s">
        <v>3856</v>
      </c>
      <c r="F67" s="468" t="s">
        <v>788</v>
      </c>
      <c r="G67" s="466">
        <v>4</v>
      </c>
      <c r="H67" s="465">
        <v>7</v>
      </c>
      <c r="I67" s="466"/>
      <c r="J67" s="466"/>
      <c r="K67" s="466">
        <v>8</v>
      </c>
      <c r="L67" s="525">
        <v>6</v>
      </c>
      <c r="M67" s="463">
        <v>21000</v>
      </c>
      <c r="N67" s="468" t="s">
        <v>3889</v>
      </c>
      <c r="O67" s="466">
        <v>2</v>
      </c>
      <c r="P67" s="523">
        <v>-3.5</v>
      </c>
      <c r="Q67" s="462">
        <v>9.8530092592592593E-4</v>
      </c>
      <c r="R67" s="463">
        <v>5733</v>
      </c>
      <c r="S67" s="466"/>
      <c r="T67" s="524"/>
      <c r="W67" s="460"/>
      <c r="AY67" s="486" t="str">
        <f t="shared" si="0"/>
        <v/>
      </c>
      <c r="AZ67" s="487" t="str">
        <f t="shared" si="2"/>
        <v/>
      </c>
      <c r="CH67" s="459"/>
    </row>
    <row r="68" spans="1:90" s="461" customFormat="1" ht="12" customHeight="1" x14ac:dyDescent="0.15">
      <c r="A68" s="522" t="s">
        <v>1793</v>
      </c>
      <c r="B68" s="467">
        <v>42391</v>
      </c>
      <c r="C68" s="468" t="s">
        <v>3895</v>
      </c>
      <c r="D68" s="468" t="s">
        <v>3892</v>
      </c>
      <c r="E68" s="468" t="s">
        <v>3893</v>
      </c>
      <c r="F68" s="468" t="s">
        <v>540</v>
      </c>
      <c r="G68" s="466">
        <v>5</v>
      </c>
      <c r="H68" s="465">
        <v>8</v>
      </c>
      <c r="I68" s="466" t="s">
        <v>959</v>
      </c>
      <c r="J68" s="466" t="s">
        <v>960</v>
      </c>
      <c r="K68" s="466">
        <v>14</v>
      </c>
      <c r="L68" s="525">
        <v>6</v>
      </c>
      <c r="M68" s="463">
        <v>23000</v>
      </c>
      <c r="N68" s="468" t="s">
        <v>3890</v>
      </c>
      <c r="O68" s="466">
        <v>3</v>
      </c>
      <c r="P68" s="523">
        <v>-2.75</v>
      </c>
      <c r="Q68" s="462">
        <v>1.1408564814814816E-3</v>
      </c>
      <c r="R68" s="463">
        <v>2200</v>
      </c>
      <c r="S68" s="466"/>
      <c r="T68" s="524"/>
      <c r="W68" s="460"/>
      <c r="AY68" s="486" t="str">
        <f t="shared" si="0"/>
        <v/>
      </c>
      <c r="AZ68" s="487" t="str">
        <f t="shared" si="2"/>
        <v/>
      </c>
      <c r="CH68" s="459"/>
    </row>
    <row r="69" spans="1:90" s="461" customFormat="1" ht="12" customHeight="1" x14ac:dyDescent="0.15">
      <c r="A69" s="522" t="s">
        <v>1529</v>
      </c>
      <c r="B69" s="467">
        <v>42391</v>
      </c>
      <c r="C69" s="468" t="s">
        <v>3617</v>
      </c>
      <c r="D69" s="468" t="s">
        <v>3618</v>
      </c>
      <c r="E69" s="468" t="s">
        <v>3671</v>
      </c>
      <c r="F69" s="468" t="s">
        <v>525</v>
      </c>
      <c r="G69" s="466">
        <v>7</v>
      </c>
      <c r="H69" s="465">
        <v>8.3000000000000007</v>
      </c>
      <c r="I69" s="466"/>
      <c r="J69" s="466"/>
      <c r="K69" s="466">
        <v>9</v>
      </c>
      <c r="L69" s="525">
        <v>15</v>
      </c>
      <c r="M69" s="463">
        <v>58000</v>
      </c>
      <c r="N69" s="468" t="s">
        <v>3888</v>
      </c>
      <c r="O69" s="466">
        <v>4</v>
      </c>
      <c r="P69" s="523">
        <v>-9.25</v>
      </c>
      <c r="Q69" s="462">
        <v>1.1865740740740741E-3</v>
      </c>
      <c r="R69" s="463">
        <v>2900</v>
      </c>
      <c r="S69" s="466"/>
      <c r="T69" s="524"/>
      <c r="W69" s="460"/>
      <c r="AY69" s="486" t="str">
        <f t="shared" si="0"/>
        <v/>
      </c>
      <c r="AZ69" s="487" t="str">
        <f t="shared" si="2"/>
        <v/>
      </c>
      <c r="CH69" s="459"/>
    </row>
    <row r="70" spans="1:90" s="469" customFormat="1" ht="12" customHeight="1" x14ac:dyDescent="0.15">
      <c r="A70" s="471" t="s">
        <v>2170</v>
      </c>
      <c r="B70" s="472">
        <v>42391</v>
      </c>
      <c r="C70" s="471" t="s">
        <v>3908</v>
      </c>
      <c r="D70" s="471" t="s">
        <v>3909</v>
      </c>
      <c r="E70" s="471" t="s">
        <v>3189</v>
      </c>
      <c r="F70" s="471" t="s">
        <v>2376</v>
      </c>
      <c r="G70" s="473">
        <v>6</v>
      </c>
      <c r="H70" s="474">
        <v>6</v>
      </c>
      <c r="I70" s="475"/>
      <c r="J70" s="475"/>
      <c r="K70" s="473">
        <v>10</v>
      </c>
      <c r="L70" s="458">
        <v>12</v>
      </c>
      <c r="M70" s="476">
        <v>29500</v>
      </c>
      <c r="N70" s="471" t="s">
        <v>3739</v>
      </c>
      <c r="O70" s="477" t="s">
        <v>431</v>
      </c>
      <c r="P70" s="478" t="s">
        <v>431</v>
      </c>
      <c r="Q70" s="479" t="s">
        <v>431</v>
      </c>
      <c r="R70" s="480" t="s">
        <v>431</v>
      </c>
      <c r="S70" s="477"/>
      <c r="T70" s="481" t="s">
        <v>3913</v>
      </c>
      <c r="U70" s="482"/>
      <c r="V70" s="482"/>
      <c r="W70" s="483"/>
      <c r="X70" s="482"/>
      <c r="Y70" s="482"/>
      <c r="Z70" s="482"/>
      <c r="AA70" s="482"/>
      <c r="AB70" s="482"/>
      <c r="AC70" s="482"/>
      <c r="AD70" s="482"/>
      <c r="AE70" s="482"/>
      <c r="AF70" s="482"/>
      <c r="AG70" s="482"/>
      <c r="AH70" s="482"/>
      <c r="AI70" s="482"/>
      <c r="AJ70" s="482"/>
      <c r="AK70" s="482"/>
      <c r="AL70" s="482"/>
      <c r="AM70" s="482"/>
      <c r="AN70" s="482"/>
      <c r="AO70" s="482"/>
      <c r="AP70" s="482"/>
      <c r="AQ70" s="482"/>
      <c r="AR70" s="482"/>
      <c r="AS70" s="482"/>
      <c r="AT70" s="482"/>
      <c r="AU70" s="482"/>
      <c r="AV70" s="482"/>
      <c r="AW70" s="482"/>
      <c r="AX70" s="482"/>
      <c r="AY70" s="486" t="str">
        <f t="shared" ref="AY70:AY133" si="3">IF(S70="","",R70)</f>
        <v/>
      </c>
      <c r="AZ70" s="487" t="str">
        <f t="shared" ref="AZ70:AZ101" si="4">IF(F70="Pleasant Meadows","",IF(L70="","",IF(O70="--","",IF(O70=1,1,""))))</f>
        <v/>
      </c>
      <c r="BA70" s="482"/>
      <c r="BB70" s="482"/>
      <c r="BC70" s="482"/>
      <c r="BD70" s="482"/>
      <c r="BE70" s="482"/>
      <c r="BF70" s="482"/>
      <c r="BG70" s="482"/>
      <c r="BH70" s="482"/>
      <c r="BI70" s="482"/>
      <c r="BJ70" s="482"/>
      <c r="BK70" s="482"/>
      <c r="BL70" s="482"/>
      <c r="BM70" s="482"/>
      <c r="BN70" s="482"/>
      <c r="BO70" s="482"/>
      <c r="BP70" s="482"/>
      <c r="BQ70" s="482"/>
      <c r="BR70" s="482"/>
      <c r="BS70" s="482"/>
      <c r="BT70" s="482"/>
      <c r="BU70" s="482"/>
      <c r="BV70" s="482"/>
      <c r="BW70" s="482"/>
      <c r="BX70" s="482"/>
      <c r="BY70" s="482"/>
      <c r="BZ70" s="482"/>
      <c r="CA70" s="482"/>
      <c r="CB70" s="482"/>
      <c r="CC70" s="482"/>
      <c r="CD70" s="482"/>
      <c r="CE70" s="482"/>
      <c r="CF70" s="482"/>
      <c r="CG70" s="482"/>
      <c r="CH70" s="484"/>
    </row>
    <row r="71" spans="1:90" s="469" customFormat="1" ht="12" customHeight="1" x14ac:dyDescent="0.15">
      <c r="A71" s="471" t="s">
        <v>3694</v>
      </c>
      <c r="B71" s="472">
        <v>42391</v>
      </c>
      <c r="C71" s="471" t="s">
        <v>3719</v>
      </c>
      <c r="D71" s="471" t="s">
        <v>3721</v>
      </c>
      <c r="E71" s="471" t="s">
        <v>3720</v>
      </c>
      <c r="F71" s="471" t="s">
        <v>993</v>
      </c>
      <c r="G71" s="473">
        <v>6</v>
      </c>
      <c r="H71" s="474">
        <v>6.5</v>
      </c>
      <c r="I71" s="475"/>
      <c r="J71" s="475"/>
      <c r="K71" s="473">
        <v>10</v>
      </c>
      <c r="L71" s="458">
        <v>15</v>
      </c>
      <c r="M71" s="476">
        <v>23000</v>
      </c>
      <c r="N71" s="471" t="s">
        <v>3718</v>
      </c>
      <c r="O71" s="477" t="s">
        <v>431</v>
      </c>
      <c r="P71" s="478" t="s">
        <v>431</v>
      </c>
      <c r="Q71" s="479" t="s">
        <v>431</v>
      </c>
      <c r="R71" s="480" t="s">
        <v>431</v>
      </c>
      <c r="S71" s="477"/>
      <c r="T71" s="481" t="s">
        <v>3913</v>
      </c>
      <c r="U71" s="482"/>
      <c r="V71" s="482"/>
      <c r="W71" s="483"/>
      <c r="X71" s="482"/>
      <c r="Y71" s="482"/>
      <c r="Z71" s="482"/>
      <c r="AA71" s="482"/>
      <c r="AB71" s="482"/>
      <c r="AC71" s="482"/>
      <c r="AD71" s="482"/>
      <c r="AE71" s="482"/>
      <c r="AF71" s="482"/>
      <c r="AG71" s="482"/>
      <c r="AH71" s="482"/>
      <c r="AI71" s="482"/>
      <c r="AJ71" s="482"/>
      <c r="AK71" s="482"/>
      <c r="AL71" s="482"/>
      <c r="AM71" s="482"/>
      <c r="AN71" s="482"/>
      <c r="AO71" s="482"/>
      <c r="AP71" s="482"/>
      <c r="AQ71" s="482"/>
      <c r="AR71" s="482"/>
      <c r="AS71" s="482"/>
      <c r="AT71" s="482"/>
      <c r="AU71" s="482"/>
      <c r="AV71" s="482"/>
      <c r="AW71" s="482"/>
      <c r="AX71" s="482"/>
      <c r="AY71" s="486" t="str">
        <f t="shared" si="3"/>
        <v/>
      </c>
      <c r="AZ71" s="487" t="str">
        <f t="shared" si="4"/>
        <v/>
      </c>
      <c r="BA71" s="482"/>
      <c r="BB71" s="482"/>
      <c r="BC71" s="482"/>
      <c r="BD71" s="482"/>
      <c r="BE71" s="482"/>
      <c r="BF71" s="482"/>
      <c r="BG71" s="482"/>
      <c r="BH71" s="482"/>
      <c r="BI71" s="482"/>
      <c r="BJ71" s="482"/>
      <c r="BK71" s="482"/>
      <c r="BL71" s="482"/>
      <c r="BM71" s="482"/>
      <c r="BN71" s="482"/>
      <c r="BO71" s="482"/>
      <c r="BP71" s="482"/>
      <c r="BQ71" s="482"/>
      <c r="BR71" s="482"/>
      <c r="BS71" s="482"/>
      <c r="BT71" s="482"/>
      <c r="BU71" s="482"/>
      <c r="BV71" s="482"/>
      <c r="BW71" s="482"/>
      <c r="BX71" s="482"/>
      <c r="BY71" s="482"/>
      <c r="BZ71" s="482"/>
      <c r="CA71" s="482"/>
      <c r="CB71" s="482"/>
      <c r="CC71" s="482"/>
      <c r="CD71" s="482"/>
      <c r="CE71" s="482"/>
      <c r="CF71" s="482"/>
      <c r="CG71" s="482"/>
      <c r="CH71" s="484"/>
    </row>
    <row r="72" spans="1:90" s="461" customFormat="1" ht="12" customHeight="1" x14ac:dyDescent="0.15">
      <c r="A72" s="522" t="s">
        <v>2364</v>
      </c>
      <c r="B72" s="467">
        <v>42392</v>
      </c>
      <c r="C72" s="468" t="s">
        <v>3922</v>
      </c>
      <c r="D72" s="468" t="s">
        <v>3923</v>
      </c>
      <c r="E72" s="468" t="s">
        <v>3924</v>
      </c>
      <c r="F72" s="468" t="s">
        <v>1068</v>
      </c>
      <c r="G72" s="466">
        <v>4</v>
      </c>
      <c r="H72" s="465">
        <v>6</v>
      </c>
      <c r="I72" s="466"/>
      <c r="J72" s="466" t="s">
        <v>961</v>
      </c>
      <c r="K72" s="466">
        <v>9</v>
      </c>
      <c r="L72" s="525">
        <v>15</v>
      </c>
      <c r="M72" s="463">
        <v>13000</v>
      </c>
      <c r="N72" s="468" t="s">
        <v>3925</v>
      </c>
      <c r="O72" s="466">
        <v>4</v>
      </c>
      <c r="P72" s="523">
        <v>-3.5</v>
      </c>
      <c r="Q72" s="462">
        <v>8.5370370370370374E-4</v>
      </c>
      <c r="R72" s="463">
        <v>690</v>
      </c>
      <c r="S72" s="466"/>
      <c r="T72" s="524"/>
      <c r="W72" s="460"/>
      <c r="AY72" s="486" t="str">
        <f t="shared" si="3"/>
        <v/>
      </c>
      <c r="AZ72" s="487" t="str">
        <f t="shared" si="4"/>
        <v/>
      </c>
      <c r="CH72" s="459"/>
    </row>
    <row r="73" spans="1:90" s="461" customFormat="1" ht="12" customHeight="1" x14ac:dyDescent="0.15">
      <c r="A73" s="522" t="s">
        <v>21</v>
      </c>
      <c r="B73" s="467">
        <v>42392</v>
      </c>
      <c r="C73" s="468" t="s">
        <v>3334</v>
      </c>
      <c r="D73" s="468" t="s">
        <v>3335</v>
      </c>
      <c r="E73" s="468" t="s">
        <v>3883</v>
      </c>
      <c r="F73" s="468" t="s">
        <v>595</v>
      </c>
      <c r="G73" s="466">
        <v>8</v>
      </c>
      <c r="H73" s="465">
        <v>8.5</v>
      </c>
      <c r="I73" s="466" t="s">
        <v>3730</v>
      </c>
      <c r="J73" s="466" t="s">
        <v>3770</v>
      </c>
      <c r="K73" s="466">
        <v>13</v>
      </c>
      <c r="L73" s="525">
        <v>8</v>
      </c>
      <c r="M73" s="463">
        <v>38000</v>
      </c>
      <c r="N73" s="468" t="s">
        <v>2230</v>
      </c>
      <c r="O73" s="466">
        <v>4</v>
      </c>
      <c r="P73" s="523">
        <v>-5</v>
      </c>
      <c r="Q73" s="462">
        <v>1.2108796296296295E-3</v>
      </c>
      <c r="R73" s="463">
        <v>2280</v>
      </c>
      <c r="S73" s="466"/>
      <c r="T73" s="524" t="s">
        <v>3926</v>
      </c>
      <c r="W73" s="460"/>
      <c r="AY73" s="486" t="str">
        <f t="shared" si="3"/>
        <v/>
      </c>
      <c r="AZ73" s="487" t="str">
        <f t="shared" si="4"/>
        <v/>
      </c>
      <c r="CH73" s="459"/>
    </row>
    <row r="74" spans="1:90" s="469" customFormat="1" ht="12" customHeight="1" x14ac:dyDescent="0.15">
      <c r="A74" s="471" t="s">
        <v>2170</v>
      </c>
      <c r="B74" s="472">
        <v>42392</v>
      </c>
      <c r="C74" s="471" t="s">
        <v>3908</v>
      </c>
      <c r="D74" s="471" t="s">
        <v>3909</v>
      </c>
      <c r="E74" s="471" t="s">
        <v>3189</v>
      </c>
      <c r="F74" s="471" t="s">
        <v>2376</v>
      </c>
      <c r="G74" s="473">
        <v>3</v>
      </c>
      <c r="H74" s="474">
        <v>6</v>
      </c>
      <c r="I74" s="475"/>
      <c r="J74" s="475"/>
      <c r="K74" s="473">
        <v>7</v>
      </c>
      <c r="L74" s="458">
        <f>7/2</f>
        <v>3.5</v>
      </c>
      <c r="M74" s="476">
        <v>18000</v>
      </c>
      <c r="N74" s="471" t="s">
        <v>3920</v>
      </c>
      <c r="O74" s="477" t="s">
        <v>431</v>
      </c>
      <c r="P74" s="478" t="s">
        <v>431</v>
      </c>
      <c r="Q74" s="479" t="s">
        <v>431</v>
      </c>
      <c r="R74" s="480" t="s">
        <v>431</v>
      </c>
      <c r="S74" s="477"/>
      <c r="T74" s="481" t="s">
        <v>3913</v>
      </c>
      <c r="U74" s="482"/>
      <c r="V74" s="482"/>
      <c r="W74" s="483"/>
      <c r="X74" s="482"/>
      <c r="Y74" s="482"/>
      <c r="Z74" s="482"/>
      <c r="AA74" s="482"/>
      <c r="AB74" s="482"/>
      <c r="AC74" s="482"/>
      <c r="AD74" s="482"/>
      <c r="AE74" s="482"/>
      <c r="AF74" s="482"/>
      <c r="AG74" s="482"/>
      <c r="AH74" s="482"/>
      <c r="AI74" s="482"/>
      <c r="AJ74" s="482"/>
      <c r="AK74" s="482"/>
      <c r="AL74" s="482"/>
      <c r="AM74" s="482"/>
      <c r="AN74" s="482"/>
      <c r="AO74" s="482"/>
      <c r="AP74" s="482"/>
      <c r="AQ74" s="482"/>
      <c r="AR74" s="482"/>
      <c r="AS74" s="482"/>
      <c r="AT74" s="482"/>
      <c r="AU74" s="482"/>
      <c r="AV74" s="482"/>
      <c r="AW74" s="482"/>
      <c r="AX74" s="482"/>
      <c r="AY74" s="486" t="str">
        <f t="shared" si="3"/>
        <v/>
      </c>
      <c r="AZ74" s="487" t="str">
        <f t="shared" si="4"/>
        <v/>
      </c>
      <c r="BA74" s="482"/>
      <c r="BB74" s="482"/>
      <c r="BC74" s="482"/>
      <c r="BD74" s="482"/>
      <c r="BE74" s="482"/>
      <c r="BF74" s="482"/>
      <c r="BG74" s="482"/>
      <c r="BH74" s="482"/>
      <c r="BI74" s="482"/>
      <c r="BJ74" s="482"/>
      <c r="BK74" s="482"/>
      <c r="BL74" s="482"/>
      <c r="BM74" s="482"/>
      <c r="BN74" s="482"/>
      <c r="BO74" s="482"/>
      <c r="BP74" s="482"/>
      <c r="BQ74" s="482"/>
      <c r="BR74" s="482"/>
      <c r="BS74" s="482"/>
      <c r="BT74" s="482"/>
      <c r="BU74" s="482"/>
      <c r="BV74" s="482"/>
      <c r="BW74" s="482"/>
      <c r="BX74" s="482"/>
      <c r="BY74" s="482"/>
      <c r="BZ74" s="482"/>
      <c r="CA74" s="482"/>
      <c r="CB74" s="482"/>
      <c r="CC74" s="482"/>
      <c r="CD74" s="482"/>
      <c r="CE74" s="482"/>
      <c r="CF74" s="482"/>
      <c r="CG74" s="482"/>
      <c r="CH74" s="484"/>
    </row>
    <row r="75" spans="1:90" s="469" customFormat="1" ht="12" customHeight="1" x14ac:dyDescent="0.15">
      <c r="A75" s="444" t="s">
        <v>3903</v>
      </c>
      <c r="B75" s="445">
        <v>42393</v>
      </c>
      <c r="C75" s="446" t="s">
        <v>3904</v>
      </c>
      <c r="D75" s="446" t="s">
        <v>3905</v>
      </c>
      <c r="E75" s="446" t="s">
        <v>3683</v>
      </c>
      <c r="F75" s="446" t="s">
        <v>3686</v>
      </c>
      <c r="G75" s="447">
        <v>9</v>
      </c>
      <c r="H75" s="448">
        <v>6</v>
      </c>
      <c r="I75" s="447"/>
      <c r="J75" s="447"/>
      <c r="K75" s="447">
        <v>14</v>
      </c>
      <c r="L75" s="448" t="s">
        <v>431</v>
      </c>
      <c r="M75" s="450">
        <v>6086</v>
      </c>
      <c r="N75" s="446" t="s">
        <v>3653</v>
      </c>
      <c r="O75" s="447">
        <v>1</v>
      </c>
      <c r="P75" s="451">
        <v>0.5</v>
      </c>
      <c r="Q75" s="452">
        <v>8.2129629629629642E-4</v>
      </c>
      <c r="R75" s="450">
        <v>3635</v>
      </c>
      <c r="S75" s="447" t="s">
        <v>625</v>
      </c>
      <c r="T75" s="453"/>
      <c r="U75" s="454"/>
      <c r="V75" s="454"/>
      <c r="W75" s="455"/>
      <c r="X75" s="454"/>
      <c r="Y75" s="454"/>
      <c r="Z75" s="454"/>
      <c r="AA75" s="454"/>
      <c r="AB75" s="454"/>
      <c r="AC75" s="454"/>
      <c r="AD75" s="454"/>
      <c r="AE75" s="454"/>
      <c r="AF75" s="454"/>
      <c r="AG75" s="454"/>
      <c r="AH75" s="454"/>
      <c r="AI75" s="454"/>
      <c r="AJ75" s="454"/>
      <c r="AK75" s="454"/>
      <c r="AL75" s="454"/>
      <c r="AM75" s="454"/>
      <c r="AN75" s="454"/>
      <c r="AO75" s="454"/>
      <c r="AP75" s="454"/>
      <c r="AQ75" s="454"/>
      <c r="AR75" s="454"/>
      <c r="AS75" s="454"/>
      <c r="AT75" s="454"/>
      <c r="AU75" s="454"/>
      <c r="AV75" s="454"/>
      <c r="AW75" s="454"/>
      <c r="AX75" s="454"/>
      <c r="AY75" s="486">
        <f t="shared" si="3"/>
        <v>3635</v>
      </c>
      <c r="AZ75" s="487">
        <f t="shared" si="4"/>
        <v>1</v>
      </c>
      <c r="BA75" s="454"/>
      <c r="BB75" s="454"/>
      <c r="BC75" s="454"/>
      <c r="BD75" s="454"/>
      <c r="BE75" s="454"/>
      <c r="BF75" s="454"/>
      <c r="BG75" s="454"/>
      <c r="BH75" s="454"/>
      <c r="BI75" s="454"/>
      <c r="BJ75" s="454"/>
      <c r="BK75" s="454"/>
      <c r="BL75" s="454"/>
      <c r="BM75" s="454"/>
      <c r="BN75" s="454"/>
      <c r="BO75" s="454"/>
      <c r="BP75" s="454"/>
      <c r="BQ75" s="454"/>
      <c r="BR75" s="454"/>
      <c r="BS75" s="454"/>
      <c r="BT75" s="454"/>
      <c r="BU75" s="454"/>
      <c r="BV75" s="454"/>
      <c r="BW75" s="454"/>
      <c r="BX75" s="454"/>
      <c r="BY75" s="454"/>
      <c r="BZ75" s="454"/>
      <c r="CA75" s="454"/>
      <c r="CB75" s="454"/>
      <c r="CC75" s="454"/>
      <c r="CD75" s="454"/>
      <c r="CE75" s="454"/>
      <c r="CF75" s="454"/>
      <c r="CG75" s="454"/>
      <c r="CH75" s="456"/>
      <c r="CI75" s="454"/>
      <c r="CJ75" s="454"/>
      <c r="CK75" s="454"/>
      <c r="CL75" s="454"/>
    </row>
    <row r="76" spans="1:90" s="461" customFormat="1" ht="12" customHeight="1" x14ac:dyDescent="0.15">
      <c r="A76" s="522" t="s">
        <v>3369</v>
      </c>
      <c r="B76" s="467">
        <v>42393</v>
      </c>
      <c r="C76" s="468" t="s">
        <v>3370</v>
      </c>
      <c r="D76" s="468" t="s">
        <v>3902</v>
      </c>
      <c r="E76" s="468" t="s">
        <v>3700</v>
      </c>
      <c r="F76" s="468" t="s">
        <v>3686</v>
      </c>
      <c r="G76" s="466">
        <v>9</v>
      </c>
      <c r="H76" s="465">
        <v>6</v>
      </c>
      <c r="I76" s="466"/>
      <c r="J76" s="466"/>
      <c r="K76" s="466">
        <v>14</v>
      </c>
      <c r="L76" s="465" t="s">
        <v>431</v>
      </c>
      <c r="M76" s="463">
        <v>6086</v>
      </c>
      <c r="N76" s="468" t="s">
        <v>3653</v>
      </c>
      <c r="O76" s="466">
        <v>2</v>
      </c>
      <c r="P76" s="523">
        <v>-0.5</v>
      </c>
      <c r="Q76" s="462">
        <v>8.2129629629629642E-4</v>
      </c>
      <c r="R76" s="463">
        <v>1272</v>
      </c>
      <c r="S76" s="466" t="s">
        <v>625</v>
      </c>
      <c r="T76" s="524"/>
      <c r="W76" s="460"/>
      <c r="AY76" s="486">
        <f t="shared" si="3"/>
        <v>1272</v>
      </c>
      <c r="AZ76" s="487" t="str">
        <f t="shared" si="4"/>
        <v/>
      </c>
      <c r="CH76" s="459"/>
    </row>
    <row r="77" spans="1:90" s="461" customFormat="1" ht="12" customHeight="1" x14ac:dyDescent="0.15">
      <c r="A77" s="522" t="s">
        <v>994</v>
      </c>
      <c r="B77" s="467">
        <v>42395</v>
      </c>
      <c r="C77" s="468" t="s">
        <v>3915</v>
      </c>
      <c r="D77" s="468" t="s">
        <v>3916</v>
      </c>
      <c r="E77" s="468" t="s">
        <v>3917</v>
      </c>
      <c r="F77" s="468" t="s">
        <v>3918</v>
      </c>
      <c r="G77" s="466">
        <v>2</v>
      </c>
      <c r="H77" s="465">
        <v>6</v>
      </c>
      <c r="I77" s="466"/>
      <c r="J77" s="466"/>
      <c r="K77" s="466">
        <v>7</v>
      </c>
      <c r="L77" s="525">
        <f>7/2</f>
        <v>3.5</v>
      </c>
      <c r="M77" s="463">
        <v>12000</v>
      </c>
      <c r="N77" s="468" t="s">
        <v>3919</v>
      </c>
      <c r="O77" s="466">
        <v>4</v>
      </c>
      <c r="P77" s="523">
        <v>-6.75</v>
      </c>
      <c r="Q77" s="462">
        <v>8.59375E-4</v>
      </c>
      <c r="R77" s="463">
        <v>600</v>
      </c>
      <c r="S77" s="466"/>
      <c r="T77" s="524"/>
      <c r="W77" s="460"/>
      <c r="AY77" s="486" t="str">
        <f t="shared" si="3"/>
        <v/>
      </c>
      <c r="AZ77" s="487" t="str">
        <f t="shared" si="4"/>
        <v/>
      </c>
      <c r="CH77" s="459"/>
    </row>
    <row r="78" spans="1:90" s="461" customFormat="1" ht="12" customHeight="1" x14ac:dyDescent="0.15">
      <c r="A78" s="522" t="s">
        <v>2467</v>
      </c>
      <c r="B78" s="467">
        <v>42397</v>
      </c>
      <c r="C78" s="468" t="s">
        <v>3186</v>
      </c>
      <c r="D78" s="468" t="s">
        <v>5144</v>
      </c>
      <c r="E78" s="468" t="s">
        <v>3930</v>
      </c>
      <c r="F78" s="468" t="s">
        <v>525</v>
      </c>
      <c r="G78" s="466">
        <v>9</v>
      </c>
      <c r="H78" s="465">
        <v>8.5</v>
      </c>
      <c r="I78" s="466"/>
      <c r="J78" s="466"/>
      <c r="K78" s="466">
        <v>12</v>
      </c>
      <c r="L78" s="525">
        <v>30</v>
      </c>
      <c r="M78" s="463">
        <v>31000</v>
      </c>
      <c r="N78" s="468" t="s">
        <v>3651</v>
      </c>
      <c r="O78" s="466">
        <v>3</v>
      </c>
      <c r="P78" s="523">
        <v>-7.5</v>
      </c>
      <c r="Q78" s="462">
        <v>1.2752314814814816E-3</v>
      </c>
      <c r="R78" s="463">
        <v>3100</v>
      </c>
      <c r="S78" s="466"/>
      <c r="T78" s="524"/>
      <c r="W78" s="460"/>
      <c r="AY78" s="486" t="str">
        <f t="shared" si="3"/>
        <v/>
      </c>
      <c r="AZ78" s="487" t="str">
        <f t="shared" si="4"/>
        <v/>
      </c>
      <c r="CH78" s="459"/>
    </row>
    <row r="79" spans="1:90" s="469" customFormat="1" ht="12" customHeight="1" x14ac:dyDescent="0.15">
      <c r="A79" s="444" t="s">
        <v>2170</v>
      </c>
      <c r="B79" s="445">
        <v>42397</v>
      </c>
      <c r="C79" s="446" t="s">
        <v>3908</v>
      </c>
      <c r="D79" s="446" t="s">
        <v>3909</v>
      </c>
      <c r="E79" s="446" t="s">
        <v>3189</v>
      </c>
      <c r="F79" s="446" t="s">
        <v>2376</v>
      </c>
      <c r="G79" s="447">
        <v>3</v>
      </c>
      <c r="H79" s="448">
        <v>6</v>
      </c>
      <c r="I79" s="447"/>
      <c r="J79" s="447"/>
      <c r="K79" s="447">
        <v>7</v>
      </c>
      <c r="L79" s="449">
        <f>7/2</f>
        <v>3.5</v>
      </c>
      <c r="M79" s="450">
        <v>18000</v>
      </c>
      <c r="N79" s="446" t="s">
        <v>3920</v>
      </c>
      <c r="O79" s="447">
        <v>1</v>
      </c>
      <c r="P79" s="451">
        <v>2.25</v>
      </c>
      <c r="Q79" s="452">
        <v>8.3043981481481478E-4</v>
      </c>
      <c r="R79" s="450">
        <v>12960</v>
      </c>
      <c r="S79" s="447"/>
      <c r="T79" s="453" t="s">
        <v>3755</v>
      </c>
      <c r="U79" s="454"/>
      <c r="V79" s="454"/>
      <c r="W79" s="455"/>
      <c r="X79" s="454"/>
      <c r="Y79" s="454"/>
      <c r="Z79" s="454"/>
      <c r="AA79" s="454"/>
      <c r="AB79" s="454"/>
      <c r="AC79" s="454"/>
      <c r="AD79" s="454"/>
      <c r="AE79" s="454"/>
      <c r="AF79" s="454"/>
      <c r="AG79" s="454"/>
      <c r="AH79" s="454"/>
      <c r="AI79" s="454"/>
      <c r="AJ79" s="454"/>
      <c r="AK79" s="454"/>
      <c r="AL79" s="454"/>
      <c r="AM79" s="454"/>
      <c r="AN79" s="454"/>
      <c r="AO79" s="454"/>
      <c r="AP79" s="454"/>
      <c r="AQ79" s="454"/>
      <c r="AR79" s="454"/>
      <c r="AS79" s="454"/>
      <c r="AT79" s="454"/>
      <c r="AU79" s="454"/>
      <c r="AV79" s="454"/>
      <c r="AW79" s="454"/>
      <c r="AX79" s="454"/>
      <c r="AY79" s="486" t="str">
        <f t="shared" si="3"/>
        <v/>
      </c>
      <c r="AZ79" s="487">
        <f t="shared" si="4"/>
        <v>1</v>
      </c>
      <c r="BA79" s="454"/>
      <c r="BB79" s="454"/>
      <c r="BC79" s="454"/>
      <c r="BD79" s="454"/>
      <c r="BE79" s="454"/>
      <c r="BF79" s="454"/>
      <c r="BG79" s="454"/>
      <c r="BH79" s="454"/>
      <c r="BI79" s="454"/>
      <c r="BJ79" s="454"/>
      <c r="BK79" s="454"/>
      <c r="BL79" s="454"/>
      <c r="BM79" s="454"/>
      <c r="BN79" s="454"/>
      <c r="BO79" s="454"/>
      <c r="BP79" s="454"/>
      <c r="BQ79" s="454"/>
      <c r="BR79" s="454"/>
      <c r="BS79" s="454"/>
      <c r="BT79" s="454"/>
      <c r="BU79" s="454"/>
      <c r="BV79" s="454"/>
      <c r="BW79" s="454"/>
      <c r="BX79" s="454"/>
      <c r="BY79" s="454"/>
      <c r="BZ79" s="454"/>
      <c r="CA79" s="454"/>
      <c r="CB79" s="454"/>
      <c r="CC79" s="454"/>
      <c r="CD79" s="454"/>
      <c r="CE79" s="454"/>
      <c r="CF79" s="454"/>
      <c r="CG79" s="454"/>
      <c r="CH79" s="456"/>
      <c r="CI79" s="454"/>
      <c r="CJ79" s="454"/>
      <c r="CK79" s="454"/>
      <c r="CL79" s="454"/>
    </row>
    <row r="80" spans="1:90" s="461" customFormat="1" ht="12" customHeight="1" x14ac:dyDescent="0.15">
      <c r="A80" s="522" t="s">
        <v>3362</v>
      </c>
      <c r="B80" s="467">
        <v>42398</v>
      </c>
      <c r="C80" s="468" t="s">
        <v>2521</v>
      </c>
      <c r="D80" s="468" t="s">
        <v>3098</v>
      </c>
      <c r="E80" s="468" t="s">
        <v>3962</v>
      </c>
      <c r="F80" s="468" t="s">
        <v>3644</v>
      </c>
      <c r="G80" s="466">
        <v>8</v>
      </c>
      <c r="H80" s="465">
        <v>12</v>
      </c>
      <c r="I80" s="466"/>
      <c r="J80" s="466"/>
      <c r="K80" s="466">
        <v>18</v>
      </c>
      <c r="L80" s="464" t="s">
        <v>431</v>
      </c>
      <c r="M80" s="463">
        <v>26668</v>
      </c>
      <c r="N80" s="457" t="s">
        <v>3381</v>
      </c>
      <c r="O80" s="466">
        <v>13</v>
      </c>
      <c r="P80" s="523">
        <v>-27.5</v>
      </c>
      <c r="Q80" s="462">
        <v>1.7829861111111111E-3</v>
      </c>
      <c r="R80" s="463">
        <v>0</v>
      </c>
      <c r="S80" s="466" t="s">
        <v>625</v>
      </c>
      <c r="T80" s="524"/>
      <c r="W80" s="460"/>
      <c r="AY80" s="486">
        <f t="shared" si="3"/>
        <v>0</v>
      </c>
      <c r="AZ80" s="487" t="str">
        <f t="shared" si="4"/>
        <v/>
      </c>
      <c r="CH80" s="459"/>
    </row>
    <row r="81" spans="1:86" s="461" customFormat="1" ht="12" customHeight="1" x14ac:dyDescent="0.15">
      <c r="A81" s="522" t="s">
        <v>3932</v>
      </c>
      <c r="B81" s="467">
        <v>42399</v>
      </c>
      <c r="C81" s="468" t="s">
        <v>3952</v>
      </c>
      <c r="D81" s="468" t="s">
        <v>3948</v>
      </c>
      <c r="E81" s="468" t="s">
        <v>3960</v>
      </c>
      <c r="F81" s="468" t="s">
        <v>3934</v>
      </c>
      <c r="G81" s="466">
        <v>5</v>
      </c>
      <c r="H81" s="465">
        <v>6.5</v>
      </c>
      <c r="I81" s="466"/>
      <c r="J81" s="466"/>
      <c r="K81" s="466">
        <v>10</v>
      </c>
      <c r="L81" s="464" t="s">
        <v>431</v>
      </c>
      <c r="M81" s="463">
        <v>2892</v>
      </c>
      <c r="N81" s="468" t="s">
        <v>3778</v>
      </c>
      <c r="O81" s="466">
        <v>6</v>
      </c>
      <c r="P81" s="523">
        <v>-8.5</v>
      </c>
      <c r="Q81" s="462">
        <v>9.9861111111111114E-4</v>
      </c>
      <c r="R81" s="463">
        <v>30</v>
      </c>
      <c r="S81" s="466" t="s">
        <v>625</v>
      </c>
      <c r="T81" s="524"/>
      <c r="W81" s="460"/>
      <c r="AY81" s="486">
        <f t="shared" si="3"/>
        <v>30</v>
      </c>
      <c r="AZ81" s="487" t="str">
        <f t="shared" si="4"/>
        <v/>
      </c>
      <c r="CH81" s="459"/>
    </row>
    <row r="82" spans="1:86" s="461" customFormat="1" ht="12" customHeight="1" x14ac:dyDescent="0.15">
      <c r="A82" s="522" t="s">
        <v>3426</v>
      </c>
      <c r="B82" s="467">
        <v>42399</v>
      </c>
      <c r="C82" s="468" t="s">
        <v>3655</v>
      </c>
      <c r="D82" s="468" t="s">
        <v>3298</v>
      </c>
      <c r="E82" s="468" t="s">
        <v>3699</v>
      </c>
      <c r="F82" s="468" t="s">
        <v>3685</v>
      </c>
      <c r="G82" s="466">
        <v>6</v>
      </c>
      <c r="H82" s="465">
        <v>7.5</v>
      </c>
      <c r="I82" s="466"/>
      <c r="J82" s="466"/>
      <c r="K82" s="466">
        <v>12</v>
      </c>
      <c r="L82" s="464" t="s">
        <v>431</v>
      </c>
      <c r="M82" s="463">
        <v>3853</v>
      </c>
      <c r="N82" s="468" t="s">
        <v>3778</v>
      </c>
      <c r="O82" s="466">
        <v>2</v>
      </c>
      <c r="P82" s="523">
        <v>-5.75</v>
      </c>
      <c r="Q82" s="462">
        <v>1.0847222222222222E-3</v>
      </c>
      <c r="R82" s="463">
        <v>809</v>
      </c>
      <c r="S82" s="466" t="s">
        <v>625</v>
      </c>
      <c r="T82" s="524"/>
      <c r="W82" s="460"/>
      <c r="AY82" s="486">
        <f t="shared" si="3"/>
        <v>809</v>
      </c>
      <c r="AZ82" s="487" t="str">
        <f t="shared" si="4"/>
        <v/>
      </c>
      <c r="CH82" s="459"/>
    </row>
    <row r="83" spans="1:86" s="461" customFormat="1" ht="12" customHeight="1" x14ac:dyDescent="0.15">
      <c r="A83" s="522" t="s">
        <v>3933</v>
      </c>
      <c r="B83" s="467">
        <v>42399</v>
      </c>
      <c r="C83" s="468" t="s">
        <v>3953</v>
      </c>
      <c r="D83" s="468" t="s">
        <v>3947</v>
      </c>
      <c r="E83" s="468" t="s">
        <v>3698</v>
      </c>
      <c r="F83" s="468" t="s">
        <v>3685</v>
      </c>
      <c r="G83" s="466">
        <v>8</v>
      </c>
      <c r="H83" s="465">
        <v>5.5</v>
      </c>
      <c r="I83" s="466"/>
      <c r="J83" s="466"/>
      <c r="K83" s="466">
        <v>13</v>
      </c>
      <c r="L83" s="464" t="s">
        <v>431</v>
      </c>
      <c r="M83" s="463">
        <v>3452</v>
      </c>
      <c r="N83" s="468" t="s">
        <v>3778</v>
      </c>
      <c r="O83" s="466">
        <v>11</v>
      </c>
      <c r="P83" s="523">
        <v>-13.25</v>
      </c>
      <c r="Q83" s="462">
        <v>7.886574074074073E-4</v>
      </c>
      <c r="R83" s="463">
        <v>65</v>
      </c>
      <c r="S83" s="466" t="s">
        <v>625</v>
      </c>
      <c r="T83" s="524"/>
      <c r="W83" s="460"/>
      <c r="AY83" s="486">
        <f t="shared" si="3"/>
        <v>65</v>
      </c>
      <c r="AZ83" s="487" t="str">
        <f t="shared" si="4"/>
        <v/>
      </c>
      <c r="CH83" s="459"/>
    </row>
    <row r="84" spans="1:86" s="461" customFormat="1" ht="12" customHeight="1" x14ac:dyDescent="0.15">
      <c r="A84" s="522" t="s">
        <v>3931</v>
      </c>
      <c r="B84" s="467">
        <v>42399</v>
      </c>
      <c r="C84" s="468" t="s">
        <v>3954</v>
      </c>
      <c r="D84" s="468" t="s">
        <v>3946</v>
      </c>
      <c r="E84" s="468" t="s">
        <v>3961</v>
      </c>
      <c r="F84" s="468" t="s">
        <v>3685</v>
      </c>
      <c r="G84" s="466">
        <v>9</v>
      </c>
      <c r="H84" s="465">
        <v>5.5</v>
      </c>
      <c r="I84" s="466"/>
      <c r="J84" s="466"/>
      <c r="K84" s="466">
        <v>14</v>
      </c>
      <c r="L84" s="464" t="s">
        <v>431</v>
      </c>
      <c r="M84" s="463">
        <v>3364</v>
      </c>
      <c r="N84" s="468" t="s">
        <v>3778</v>
      </c>
      <c r="O84" s="466">
        <v>2</v>
      </c>
      <c r="P84" s="523">
        <v>-0.5</v>
      </c>
      <c r="Q84" s="462">
        <v>7.8159722222222216E-4</v>
      </c>
      <c r="R84" s="463">
        <v>725</v>
      </c>
      <c r="S84" s="466" t="s">
        <v>625</v>
      </c>
      <c r="T84" s="524"/>
      <c r="W84" s="460"/>
      <c r="AY84" s="486">
        <f t="shared" si="3"/>
        <v>725</v>
      </c>
      <c r="AZ84" s="487" t="str">
        <f t="shared" si="4"/>
        <v/>
      </c>
      <c r="CH84" s="459"/>
    </row>
    <row r="85" spans="1:86" s="461" customFormat="1" ht="12" customHeight="1" x14ac:dyDescent="0.15">
      <c r="A85" s="522" t="s">
        <v>3830</v>
      </c>
      <c r="B85" s="467">
        <v>42399</v>
      </c>
      <c r="C85" s="468" t="s">
        <v>3831</v>
      </c>
      <c r="D85" s="468" t="s">
        <v>3833</v>
      </c>
      <c r="E85" s="468" t="s">
        <v>3684</v>
      </c>
      <c r="F85" s="468" t="s">
        <v>3685</v>
      </c>
      <c r="G85" s="466">
        <v>9</v>
      </c>
      <c r="H85" s="465">
        <v>5.5</v>
      </c>
      <c r="I85" s="466"/>
      <c r="J85" s="466"/>
      <c r="K85" s="466">
        <v>14</v>
      </c>
      <c r="L85" s="464" t="s">
        <v>431</v>
      </c>
      <c r="M85" s="463">
        <v>3364</v>
      </c>
      <c r="N85" s="468" t="s">
        <v>3778</v>
      </c>
      <c r="O85" s="466">
        <v>7</v>
      </c>
      <c r="P85" s="523">
        <v>-15.75</v>
      </c>
      <c r="Q85" s="462">
        <v>7.8159722222222216E-4</v>
      </c>
      <c r="R85" s="463">
        <v>65</v>
      </c>
      <c r="S85" s="466" t="s">
        <v>625</v>
      </c>
      <c r="T85" s="524"/>
      <c r="W85" s="460"/>
      <c r="AY85" s="486">
        <f t="shared" si="3"/>
        <v>65</v>
      </c>
      <c r="AZ85" s="487" t="str">
        <f t="shared" si="4"/>
        <v/>
      </c>
      <c r="CH85" s="459"/>
    </row>
    <row r="86" spans="1:86" s="461" customFormat="1" ht="12" customHeight="1" x14ac:dyDescent="0.15">
      <c r="A86" s="522" t="s">
        <v>984</v>
      </c>
      <c r="B86" s="467">
        <v>42399</v>
      </c>
      <c r="C86" s="468" t="s">
        <v>3759</v>
      </c>
      <c r="D86" s="468" t="s">
        <v>3760</v>
      </c>
      <c r="E86" s="468" t="s">
        <v>3761</v>
      </c>
      <c r="F86" s="468" t="s">
        <v>680</v>
      </c>
      <c r="G86" s="466">
        <v>7</v>
      </c>
      <c r="H86" s="465">
        <v>5.5</v>
      </c>
      <c r="I86" s="466" t="s">
        <v>1360</v>
      </c>
      <c r="J86" s="466"/>
      <c r="K86" s="466">
        <v>12</v>
      </c>
      <c r="L86" s="525">
        <v>10</v>
      </c>
      <c r="M86" s="463">
        <v>7100</v>
      </c>
      <c r="N86" s="468" t="s">
        <v>3762</v>
      </c>
      <c r="O86" s="466">
        <v>3</v>
      </c>
      <c r="P86" s="523">
        <v>-2</v>
      </c>
      <c r="Q86" s="462">
        <v>7.7523148148148145E-4</v>
      </c>
      <c r="R86" s="463">
        <v>710</v>
      </c>
      <c r="S86" s="466"/>
      <c r="T86" s="524"/>
      <c r="W86" s="460"/>
      <c r="AY86" s="486" t="str">
        <f t="shared" si="3"/>
        <v/>
      </c>
      <c r="AZ86" s="487" t="str">
        <f t="shared" si="4"/>
        <v/>
      </c>
      <c r="CH86" s="459"/>
    </row>
    <row r="87" spans="1:86" s="461" customFormat="1" ht="12" customHeight="1" x14ac:dyDescent="0.15">
      <c r="A87" s="522" t="s">
        <v>3777</v>
      </c>
      <c r="B87" s="467">
        <v>42400</v>
      </c>
      <c r="C87" s="468" t="s">
        <v>3781</v>
      </c>
      <c r="D87" s="468" t="s">
        <v>3779</v>
      </c>
      <c r="E87" s="468" t="s">
        <v>3966</v>
      </c>
      <c r="F87" s="468" t="s">
        <v>3775</v>
      </c>
      <c r="G87" s="466">
        <v>2</v>
      </c>
      <c r="H87" s="465">
        <v>5.5</v>
      </c>
      <c r="I87" s="466" t="s">
        <v>1360</v>
      </c>
      <c r="J87" s="466"/>
      <c r="K87" s="466">
        <v>10</v>
      </c>
      <c r="L87" s="464" t="s">
        <v>431</v>
      </c>
      <c r="M87" s="463">
        <v>52529</v>
      </c>
      <c r="N87" s="457" t="s">
        <v>3778</v>
      </c>
      <c r="O87" s="466">
        <v>4</v>
      </c>
      <c r="P87" s="523">
        <v>-2.2999999999999998</v>
      </c>
      <c r="Q87" s="462">
        <v>7.6770833333333335E-4</v>
      </c>
      <c r="R87" s="463">
        <v>1895</v>
      </c>
      <c r="S87" s="466" t="s">
        <v>3983</v>
      </c>
      <c r="T87" s="524"/>
      <c r="W87" s="460"/>
      <c r="AY87" s="486">
        <f t="shared" si="3"/>
        <v>1895</v>
      </c>
      <c r="AZ87" s="487" t="str">
        <f t="shared" si="4"/>
        <v/>
      </c>
      <c r="CH87" s="459"/>
    </row>
    <row r="88" spans="1:86" s="461" customFormat="1" ht="12" customHeight="1" x14ac:dyDescent="0.15">
      <c r="A88" s="522" t="s">
        <v>367</v>
      </c>
      <c r="B88" s="467">
        <v>42400</v>
      </c>
      <c r="C88" s="468" t="s">
        <v>3187</v>
      </c>
      <c r="D88" s="468" t="s">
        <v>3278</v>
      </c>
      <c r="E88" s="468" t="s">
        <v>3965</v>
      </c>
      <c r="F88" s="468" t="s">
        <v>788</v>
      </c>
      <c r="G88" s="466">
        <v>5</v>
      </c>
      <c r="H88" s="465">
        <v>7</v>
      </c>
      <c r="I88" s="466"/>
      <c r="J88" s="466"/>
      <c r="K88" s="466">
        <v>9</v>
      </c>
      <c r="L88" s="525"/>
      <c r="M88" s="463">
        <v>23000</v>
      </c>
      <c r="N88" s="468" t="s">
        <v>3267</v>
      </c>
      <c r="O88" s="466">
        <v>6</v>
      </c>
      <c r="P88" s="523">
        <v>-8.25</v>
      </c>
      <c r="Q88" s="462">
        <v>9.8090277777777781E-4</v>
      </c>
      <c r="R88" s="463">
        <v>460</v>
      </c>
      <c r="S88" s="466"/>
      <c r="T88" s="524"/>
      <c r="W88" s="460"/>
      <c r="AY88" s="486" t="str">
        <f t="shared" si="3"/>
        <v/>
      </c>
      <c r="AZ88" s="487" t="str">
        <f t="shared" si="4"/>
        <v/>
      </c>
      <c r="CH88" s="459"/>
    </row>
    <row r="89" spans="1:86" s="461" customFormat="1" ht="12" customHeight="1" x14ac:dyDescent="0.15">
      <c r="A89" s="522" t="s">
        <v>3944</v>
      </c>
      <c r="B89" s="467">
        <v>42400</v>
      </c>
      <c r="C89" s="468" t="s">
        <v>3949</v>
      </c>
      <c r="D89" s="468" t="s">
        <v>3945</v>
      </c>
      <c r="E89" s="468" t="s">
        <v>3956</v>
      </c>
      <c r="F89" s="468" t="s">
        <v>3686</v>
      </c>
      <c r="G89" s="466">
        <v>3</v>
      </c>
      <c r="H89" s="465">
        <v>8</v>
      </c>
      <c r="I89" s="466"/>
      <c r="J89" s="466"/>
      <c r="K89" s="466">
        <v>9</v>
      </c>
      <c r="L89" s="464" t="s">
        <v>431</v>
      </c>
      <c r="M89" s="463">
        <v>7713</v>
      </c>
      <c r="N89" s="468" t="s">
        <v>3653</v>
      </c>
      <c r="O89" s="466">
        <v>5</v>
      </c>
      <c r="P89" s="523">
        <v>-6</v>
      </c>
      <c r="Q89" s="462">
        <v>1.1447916666666666E-3</v>
      </c>
      <c r="R89" s="463">
        <v>99</v>
      </c>
      <c r="S89" s="466" t="s">
        <v>625</v>
      </c>
      <c r="T89" s="524"/>
      <c r="W89" s="460"/>
      <c r="AY89" s="486">
        <f t="shared" si="3"/>
        <v>99</v>
      </c>
      <c r="AZ89" s="487" t="str">
        <f t="shared" si="4"/>
        <v/>
      </c>
      <c r="CH89" s="459"/>
    </row>
    <row r="90" spans="1:86" s="461" customFormat="1" ht="12" customHeight="1" x14ac:dyDescent="0.15">
      <c r="A90" s="522" t="s">
        <v>3829</v>
      </c>
      <c r="B90" s="467">
        <v>42400</v>
      </c>
      <c r="C90" s="468" t="s">
        <v>2744</v>
      </c>
      <c r="D90" s="468" t="s">
        <v>3832</v>
      </c>
      <c r="E90" s="468" t="s">
        <v>3846</v>
      </c>
      <c r="F90" s="468" t="s">
        <v>3686</v>
      </c>
      <c r="G90" s="466">
        <v>3</v>
      </c>
      <c r="H90" s="465">
        <v>8</v>
      </c>
      <c r="I90" s="466"/>
      <c r="J90" s="466"/>
      <c r="K90" s="466">
        <v>9</v>
      </c>
      <c r="L90" s="464" t="s">
        <v>431</v>
      </c>
      <c r="M90" s="463">
        <v>7713</v>
      </c>
      <c r="N90" s="468" t="s">
        <v>3653</v>
      </c>
      <c r="O90" s="466">
        <v>7</v>
      </c>
      <c r="P90" s="523">
        <v>-14</v>
      </c>
      <c r="Q90" s="462">
        <v>1.1447916666666666E-3</v>
      </c>
      <c r="R90" s="463">
        <v>99</v>
      </c>
      <c r="S90" s="466" t="s">
        <v>625</v>
      </c>
      <c r="T90" s="524"/>
      <c r="W90" s="460"/>
      <c r="AY90" s="486">
        <f t="shared" si="3"/>
        <v>99</v>
      </c>
      <c r="AZ90" s="487" t="str">
        <f t="shared" si="4"/>
        <v/>
      </c>
      <c r="CH90" s="459"/>
    </row>
    <row r="91" spans="1:86" s="461" customFormat="1" ht="12" customHeight="1" x14ac:dyDescent="0.15">
      <c r="A91" s="522" t="s">
        <v>3327</v>
      </c>
      <c r="B91" s="467">
        <v>42400</v>
      </c>
      <c r="C91" s="468" t="s">
        <v>3330</v>
      </c>
      <c r="D91" s="468" t="s">
        <v>3497</v>
      </c>
      <c r="E91" s="468" t="s">
        <v>3684</v>
      </c>
      <c r="F91" s="468" t="s">
        <v>3686</v>
      </c>
      <c r="G91" s="466">
        <v>5</v>
      </c>
      <c r="H91" s="465">
        <v>5</v>
      </c>
      <c r="I91" s="466"/>
      <c r="J91" s="466"/>
      <c r="K91" s="466">
        <v>9</v>
      </c>
      <c r="L91" s="464" t="s">
        <v>431</v>
      </c>
      <c r="M91" s="463">
        <v>6047</v>
      </c>
      <c r="N91" s="468" t="s">
        <v>3653</v>
      </c>
      <c r="O91" s="466">
        <v>7</v>
      </c>
      <c r="P91" s="523">
        <v>-9.25</v>
      </c>
      <c r="Q91" s="462">
        <v>7.0451388888888896E-4</v>
      </c>
      <c r="R91" s="463">
        <v>99</v>
      </c>
      <c r="S91" s="466" t="s">
        <v>625</v>
      </c>
      <c r="T91" s="524"/>
      <c r="W91" s="460"/>
      <c r="AY91" s="486">
        <f t="shared" si="3"/>
        <v>99</v>
      </c>
      <c r="AZ91" s="487" t="str">
        <f t="shared" si="4"/>
        <v/>
      </c>
      <c r="CH91" s="459"/>
    </row>
    <row r="92" spans="1:86" s="461" customFormat="1" ht="12" customHeight="1" x14ac:dyDescent="0.15">
      <c r="A92" s="522" t="s">
        <v>3943</v>
      </c>
      <c r="B92" s="467">
        <v>42400</v>
      </c>
      <c r="C92" s="468" t="s">
        <v>2839</v>
      </c>
      <c r="D92" s="468" t="s">
        <v>3192</v>
      </c>
      <c r="E92" s="468" t="s">
        <v>3683</v>
      </c>
      <c r="F92" s="468" t="s">
        <v>3686</v>
      </c>
      <c r="G92" s="466">
        <v>5</v>
      </c>
      <c r="H92" s="465">
        <v>5</v>
      </c>
      <c r="I92" s="466"/>
      <c r="J92" s="466"/>
      <c r="K92" s="466">
        <v>9</v>
      </c>
      <c r="L92" s="464" t="s">
        <v>431</v>
      </c>
      <c r="M92" s="463">
        <v>6047</v>
      </c>
      <c r="N92" s="468" t="s">
        <v>3653</v>
      </c>
      <c r="O92" s="466">
        <v>9</v>
      </c>
      <c r="P92" s="523">
        <v>-16.75</v>
      </c>
      <c r="Q92" s="462">
        <v>7.0451388888888896E-4</v>
      </c>
      <c r="R92" s="463">
        <v>99</v>
      </c>
      <c r="S92" s="466" t="s">
        <v>625</v>
      </c>
      <c r="T92" s="524"/>
      <c r="W92" s="460"/>
      <c r="AY92" s="486">
        <f t="shared" si="3"/>
        <v>99</v>
      </c>
      <c r="AZ92" s="487" t="str">
        <f t="shared" si="4"/>
        <v/>
      </c>
      <c r="CH92" s="459"/>
    </row>
    <row r="93" spans="1:86" s="461" customFormat="1" ht="12" customHeight="1" x14ac:dyDescent="0.15">
      <c r="A93" s="522" t="s">
        <v>3937</v>
      </c>
      <c r="B93" s="467">
        <v>42400</v>
      </c>
      <c r="C93" s="468" t="s">
        <v>3939</v>
      </c>
      <c r="D93" s="468" t="s">
        <v>3938</v>
      </c>
      <c r="E93" s="468" t="s">
        <v>3957</v>
      </c>
      <c r="F93" s="468" t="s">
        <v>3686</v>
      </c>
      <c r="G93" s="466">
        <v>8</v>
      </c>
      <c r="H93" s="465">
        <v>5.5</v>
      </c>
      <c r="I93" s="466"/>
      <c r="J93" s="466"/>
      <c r="K93" s="466">
        <v>12</v>
      </c>
      <c r="L93" s="464" t="s">
        <v>431</v>
      </c>
      <c r="M93" s="463">
        <v>9198</v>
      </c>
      <c r="N93" s="468" t="s">
        <v>3955</v>
      </c>
      <c r="O93" s="466">
        <v>3</v>
      </c>
      <c r="P93" s="523">
        <v>-1.5</v>
      </c>
      <c r="Q93" s="462">
        <v>7.8796296296296297E-4</v>
      </c>
      <c r="R93" s="463">
        <v>1195</v>
      </c>
      <c r="S93" s="466" t="s">
        <v>625</v>
      </c>
      <c r="T93" s="524"/>
      <c r="W93" s="460"/>
      <c r="AY93" s="486">
        <f t="shared" si="3"/>
        <v>1195</v>
      </c>
      <c r="AZ93" s="487" t="str">
        <f t="shared" si="4"/>
        <v/>
      </c>
      <c r="CH93" s="459"/>
    </row>
    <row r="94" spans="1:86" s="469" customFormat="1" ht="12" customHeight="1" x14ac:dyDescent="0.15">
      <c r="A94" s="471" t="s">
        <v>3988</v>
      </c>
      <c r="B94" s="472">
        <v>42400</v>
      </c>
      <c r="C94" s="471" t="s">
        <v>3951</v>
      </c>
      <c r="D94" s="471" t="s">
        <v>3725</v>
      </c>
      <c r="E94" s="471" t="s">
        <v>3684</v>
      </c>
      <c r="F94" s="471" t="s">
        <v>3686</v>
      </c>
      <c r="G94" s="473">
        <v>8</v>
      </c>
      <c r="H94" s="474">
        <v>5.5</v>
      </c>
      <c r="I94" s="475"/>
      <c r="J94" s="475"/>
      <c r="K94" s="473">
        <v>14</v>
      </c>
      <c r="L94" s="485" t="s">
        <v>431</v>
      </c>
      <c r="M94" s="476">
        <v>9198</v>
      </c>
      <c r="N94" s="471" t="s">
        <v>3955</v>
      </c>
      <c r="O94" s="477" t="s">
        <v>431</v>
      </c>
      <c r="P94" s="478" t="s">
        <v>431</v>
      </c>
      <c r="Q94" s="479" t="s">
        <v>431</v>
      </c>
      <c r="R94" s="480" t="s">
        <v>431</v>
      </c>
      <c r="S94" s="477" t="s">
        <v>625</v>
      </c>
      <c r="T94" s="481" t="s">
        <v>3989</v>
      </c>
      <c r="U94" s="482"/>
      <c r="V94" s="482"/>
      <c r="W94" s="483"/>
      <c r="X94" s="482"/>
      <c r="Y94" s="482"/>
      <c r="Z94" s="482"/>
      <c r="AA94" s="482"/>
      <c r="AB94" s="482"/>
      <c r="AC94" s="482"/>
      <c r="AD94" s="482"/>
      <c r="AE94" s="482"/>
      <c r="AF94" s="482"/>
      <c r="AG94" s="482"/>
      <c r="AH94" s="482"/>
      <c r="AI94" s="482"/>
      <c r="AJ94" s="482"/>
      <c r="AK94" s="482"/>
      <c r="AL94" s="482"/>
      <c r="AM94" s="482"/>
      <c r="AN94" s="482"/>
      <c r="AO94" s="482"/>
      <c r="AP94" s="482"/>
      <c r="AQ94" s="482"/>
      <c r="AR94" s="482"/>
      <c r="AS94" s="482"/>
      <c r="AT94" s="482"/>
      <c r="AU94" s="482"/>
      <c r="AV94" s="482"/>
      <c r="AW94" s="482"/>
      <c r="AX94" s="482"/>
      <c r="AY94" s="486" t="str">
        <f t="shared" si="3"/>
        <v>--</v>
      </c>
      <c r="AZ94" s="487" t="str">
        <f t="shared" si="4"/>
        <v/>
      </c>
      <c r="BA94" s="482"/>
      <c r="BB94" s="482"/>
      <c r="BC94" s="482"/>
      <c r="BD94" s="482"/>
      <c r="BE94" s="482"/>
      <c r="BF94" s="482"/>
      <c r="BG94" s="482"/>
      <c r="BH94" s="482"/>
      <c r="BI94" s="482"/>
      <c r="BJ94" s="482"/>
      <c r="BK94" s="482"/>
      <c r="BL94" s="482"/>
      <c r="BM94" s="482"/>
      <c r="BN94" s="482"/>
      <c r="BO94" s="482"/>
      <c r="BP94" s="482"/>
      <c r="BQ94" s="482"/>
      <c r="BR94" s="482"/>
      <c r="BS94" s="482"/>
      <c r="BT94" s="482"/>
      <c r="BU94" s="482"/>
      <c r="BV94" s="482"/>
      <c r="BW94" s="482"/>
      <c r="BX94" s="482"/>
      <c r="BY94" s="482"/>
      <c r="BZ94" s="482"/>
      <c r="CA94" s="482"/>
      <c r="CB94" s="482"/>
      <c r="CC94" s="482"/>
      <c r="CD94" s="482"/>
      <c r="CE94" s="482"/>
      <c r="CF94" s="482"/>
      <c r="CG94" s="482"/>
      <c r="CH94" s="484"/>
    </row>
    <row r="95" spans="1:86" s="461" customFormat="1" ht="12" customHeight="1" x14ac:dyDescent="0.15">
      <c r="A95" s="522" t="s">
        <v>3940</v>
      </c>
      <c r="B95" s="467">
        <v>42400</v>
      </c>
      <c r="C95" s="468" t="s">
        <v>3950</v>
      </c>
      <c r="D95" s="468" t="s">
        <v>3942</v>
      </c>
      <c r="E95" s="468" t="s">
        <v>3958</v>
      </c>
      <c r="F95" s="468" t="s">
        <v>3686</v>
      </c>
      <c r="G95" s="466">
        <v>10</v>
      </c>
      <c r="H95" s="465">
        <v>6.5</v>
      </c>
      <c r="I95" s="466"/>
      <c r="J95" s="466"/>
      <c r="K95" s="466">
        <v>10</v>
      </c>
      <c r="L95" s="464" t="s">
        <v>431</v>
      </c>
      <c r="M95" s="463">
        <v>6387</v>
      </c>
      <c r="N95" s="468" t="s">
        <v>3653</v>
      </c>
      <c r="O95" s="466">
        <v>10</v>
      </c>
      <c r="P95" s="523">
        <v>-20</v>
      </c>
      <c r="Q95" s="462">
        <v>9.1122685185185187E-4</v>
      </c>
      <c r="R95" s="463">
        <v>99</v>
      </c>
      <c r="S95" s="466" t="s">
        <v>625</v>
      </c>
      <c r="T95" s="524"/>
      <c r="W95" s="460"/>
      <c r="AY95" s="486">
        <f t="shared" si="3"/>
        <v>99</v>
      </c>
      <c r="AZ95" s="487" t="str">
        <f t="shared" si="4"/>
        <v/>
      </c>
      <c r="CH95" s="459"/>
    </row>
    <row r="96" spans="1:86" s="461" customFormat="1" ht="12" customHeight="1" x14ac:dyDescent="0.15">
      <c r="A96" s="522" t="s">
        <v>3496</v>
      </c>
      <c r="B96" s="467">
        <v>42400</v>
      </c>
      <c r="C96" s="468" t="s">
        <v>3498</v>
      </c>
      <c r="D96" s="468" t="s">
        <v>3331</v>
      </c>
      <c r="E96" s="468" t="s">
        <v>3684</v>
      </c>
      <c r="F96" s="468" t="s">
        <v>3686</v>
      </c>
      <c r="G96" s="466">
        <v>11</v>
      </c>
      <c r="H96" s="465">
        <v>5</v>
      </c>
      <c r="I96" s="466"/>
      <c r="J96" s="466"/>
      <c r="K96" s="466">
        <v>10</v>
      </c>
      <c r="L96" s="464" t="s">
        <v>431</v>
      </c>
      <c r="M96" s="463">
        <v>6047</v>
      </c>
      <c r="N96" s="468" t="s">
        <v>3653</v>
      </c>
      <c r="O96" s="466">
        <v>4</v>
      </c>
      <c r="P96" s="523">
        <v>-1.75</v>
      </c>
      <c r="Q96" s="462">
        <v>7.0370370370370378E-4</v>
      </c>
      <c r="R96" s="463">
        <v>362</v>
      </c>
      <c r="S96" s="466" t="s">
        <v>625</v>
      </c>
      <c r="T96" s="524"/>
      <c r="W96" s="460"/>
      <c r="AY96" s="486">
        <f t="shared" si="3"/>
        <v>362</v>
      </c>
      <c r="AZ96" s="487" t="str">
        <f t="shared" si="4"/>
        <v/>
      </c>
      <c r="CH96" s="459"/>
    </row>
    <row r="97" spans="1:90" s="461" customFormat="1" ht="12" customHeight="1" x14ac:dyDescent="0.15">
      <c r="A97" s="522" t="s">
        <v>3935</v>
      </c>
      <c r="B97" s="467">
        <v>42400</v>
      </c>
      <c r="C97" s="468" t="s">
        <v>2546</v>
      </c>
      <c r="D97" s="468" t="s">
        <v>3936</v>
      </c>
      <c r="E97" s="468" t="s">
        <v>3959</v>
      </c>
      <c r="F97" s="468" t="s">
        <v>3686</v>
      </c>
      <c r="G97" s="466">
        <v>11</v>
      </c>
      <c r="H97" s="465">
        <v>5</v>
      </c>
      <c r="I97" s="466"/>
      <c r="J97" s="466"/>
      <c r="K97" s="466">
        <v>10</v>
      </c>
      <c r="L97" s="464" t="s">
        <v>431</v>
      </c>
      <c r="M97" s="463">
        <v>6047</v>
      </c>
      <c r="N97" s="468" t="s">
        <v>3653</v>
      </c>
      <c r="O97" s="466">
        <v>8</v>
      </c>
      <c r="P97" s="523">
        <v>-6.75</v>
      </c>
      <c r="Q97" s="462">
        <v>7.0370370370370378E-4</v>
      </c>
      <c r="R97" s="463">
        <v>99</v>
      </c>
      <c r="S97" s="466" t="s">
        <v>625</v>
      </c>
      <c r="T97" s="524"/>
      <c r="W97" s="460"/>
      <c r="AY97" s="486">
        <f t="shared" si="3"/>
        <v>99</v>
      </c>
      <c r="AZ97" s="487" t="str">
        <f t="shared" si="4"/>
        <v/>
      </c>
      <c r="CH97" s="459"/>
    </row>
    <row r="98" spans="1:90" s="461" customFormat="1" ht="12" customHeight="1" x14ac:dyDescent="0.15">
      <c r="A98" s="522" t="s">
        <v>3941</v>
      </c>
      <c r="B98" s="467">
        <v>42400</v>
      </c>
      <c r="C98" s="468" t="s">
        <v>2744</v>
      </c>
      <c r="D98" s="468" t="s">
        <v>3832</v>
      </c>
      <c r="E98" s="468" t="s">
        <v>3699</v>
      </c>
      <c r="F98" s="468" t="s">
        <v>3686</v>
      </c>
      <c r="G98" s="466">
        <v>12</v>
      </c>
      <c r="H98" s="465">
        <v>6</v>
      </c>
      <c r="I98" s="466"/>
      <c r="J98" s="466"/>
      <c r="K98" s="466">
        <v>12</v>
      </c>
      <c r="L98" s="464" t="s">
        <v>431</v>
      </c>
      <c r="M98" s="463">
        <v>7090</v>
      </c>
      <c r="N98" s="468" t="s">
        <v>3225</v>
      </c>
      <c r="O98" s="466">
        <v>2</v>
      </c>
      <c r="P98" s="523">
        <v>-0.75</v>
      </c>
      <c r="Q98" s="462">
        <v>8.3009259259259267E-4</v>
      </c>
      <c r="R98" s="463">
        <v>1487</v>
      </c>
      <c r="S98" s="466" t="s">
        <v>625</v>
      </c>
      <c r="T98" s="524"/>
      <c r="W98" s="460"/>
      <c r="AY98" s="486">
        <f t="shared" si="3"/>
        <v>1487</v>
      </c>
      <c r="AZ98" s="487" t="str">
        <f t="shared" si="4"/>
        <v/>
      </c>
      <c r="CH98" s="459"/>
    </row>
    <row r="99" spans="1:90" s="469" customFormat="1" ht="12" customHeight="1" x14ac:dyDescent="0.15">
      <c r="A99" s="471" t="s">
        <v>3994</v>
      </c>
      <c r="B99" s="472">
        <v>42400</v>
      </c>
      <c r="C99" s="471" t="s">
        <v>3223</v>
      </c>
      <c r="D99" s="471" t="s">
        <v>3192</v>
      </c>
      <c r="E99" s="471" t="s">
        <v>3699</v>
      </c>
      <c r="F99" s="471" t="s">
        <v>3686</v>
      </c>
      <c r="G99" s="473">
        <v>13</v>
      </c>
      <c r="H99" s="474">
        <v>6</v>
      </c>
      <c r="I99" s="475"/>
      <c r="J99" s="475"/>
      <c r="K99" s="473">
        <v>14</v>
      </c>
      <c r="L99" s="485" t="s">
        <v>431</v>
      </c>
      <c r="M99" s="476">
        <v>7090</v>
      </c>
      <c r="N99" s="471" t="s">
        <v>3225</v>
      </c>
      <c r="O99" s="477" t="s">
        <v>431</v>
      </c>
      <c r="P99" s="478" t="s">
        <v>431</v>
      </c>
      <c r="Q99" s="479" t="s">
        <v>431</v>
      </c>
      <c r="R99" s="480" t="s">
        <v>431</v>
      </c>
      <c r="S99" s="477" t="s">
        <v>625</v>
      </c>
      <c r="T99" s="481" t="s">
        <v>3993</v>
      </c>
      <c r="U99" s="482"/>
      <c r="V99" s="482"/>
      <c r="W99" s="483"/>
      <c r="X99" s="482"/>
      <c r="Y99" s="482"/>
      <c r="Z99" s="482"/>
      <c r="AA99" s="482"/>
      <c r="AB99" s="482"/>
      <c r="AC99" s="482"/>
      <c r="AD99" s="482"/>
      <c r="AE99" s="482"/>
      <c r="AF99" s="482"/>
      <c r="AG99" s="482"/>
      <c r="AH99" s="482"/>
      <c r="AI99" s="482"/>
      <c r="AJ99" s="482"/>
      <c r="AK99" s="482"/>
      <c r="AL99" s="482"/>
      <c r="AM99" s="482"/>
      <c r="AN99" s="482"/>
      <c r="AO99" s="482"/>
      <c r="AP99" s="482"/>
      <c r="AQ99" s="482"/>
      <c r="AR99" s="482"/>
      <c r="AS99" s="482"/>
      <c r="AT99" s="482"/>
      <c r="AU99" s="482"/>
      <c r="AV99" s="482"/>
      <c r="AW99" s="482"/>
      <c r="AX99" s="482"/>
      <c r="AY99" s="486" t="str">
        <f t="shared" si="3"/>
        <v>--</v>
      </c>
      <c r="AZ99" s="487" t="str">
        <f t="shared" si="4"/>
        <v/>
      </c>
      <c r="BA99" s="482"/>
      <c r="BB99" s="482"/>
      <c r="BC99" s="482"/>
      <c r="BD99" s="482"/>
      <c r="BE99" s="482"/>
      <c r="BF99" s="482"/>
      <c r="BG99" s="482"/>
      <c r="BH99" s="482"/>
      <c r="BI99" s="482"/>
      <c r="BJ99" s="482"/>
      <c r="BK99" s="482"/>
      <c r="BL99" s="482"/>
      <c r="BM99" s="482"/>
      <c r="BN99" s="482"/>
      <c r="BO99" s="482"/>
      <c r="BP99" s="482"/>
      <c r="BQ99" s="482"/>
      <c r="BR99" s="482"/>
      <c r="BS99" s="482"/>
      <c r="BT99" s="482"/>
      <c r="BU99" s="482"/>
      <c r="BV99" s="482"/>
      <c r="BW99" s="482"/>
      <c r="BX99" s="482"/>
      <c r="BY99" s="482"/>
      <c r="BZ99" s="482"/>
      <c r="CA99" s="482"/>
      <c r="CB99" s="482"/>
      <c r="CC99" s="482"/>
      <c r="CD99" s="482"/>
      <c r="CE99" s="482"/>
      <c r="CF99" s="482"/>
      <c r="CG99" s="482"/>
      <c r="CH99" s="484"/>
    </row>
    <row r="100" spans="1:90" s="469" customFormat="1" ht="12" customHeight="1" x14ac:dyDescent="0.15">
      <c r="A100" s="444" t="s">
        <v>3328</v>
      </c>
      <c r="B100" s="445">
        <v>42400</v>
      </c>
      <c r="C100" s="446" t="s">
        <v>3329</v>
      </c>
      <c r="D100" s="446" t="s">
        <v>3598</v>
      </c>
      <c r="E100" s="446" t="s">
        <v>3698</v>
      </c>
      <c r="F100" s="446" t="s">
        <v>3686</v>
      </c>
      <c r="G100" s="447">
        <v>13</v>
      </c>
      <c r="H100" s="448">
        <v>6</v>
      </c>
      <c r="I100" s="447"/>
      <c r="J100" s="447"/>
      <c r="K100" s="447">
        <v>14</v>
      </c>
      <c r="L100" s="448" t="s">
        <v>431</v>
      </c>
      <c r="M100" s="450">
        <v>7090</v>
      </c>
      <c r="N100" s="446" t="s">
        <v>3225</v>
      </c>
      <c r="O100" s="447">
        <v>1</v>
      </c>
      <c r="P100" s="451">
        <v>0.25</v>
      </c>
      <c r="Q100" s="452">
        <v>8.3611111111111115E-4</v>
      </c>
      <c r="R100" s="450">
        <v>4250</v>
      </c>
      <c r="S100" s="447" t="s">
        <v>625</v>
      </c>
      <c r="T100" s="453"/>
      <c r="U100" s="454"/>
      <c r="V100" s="454"/>
      <c r="W100" s="455"/>
      <c r="X100" s="454"/>
      <c r="Y100" s="454"/>
      <c r="Z100" s="454"/>
      <c r="AA100" s="454"/>
      <c r="AB100" s="454"/>
      <c r="AC100" s="454"/>
      <c r="AD100" s="454"/>
      <c r="AE100" s="454"/>
      <c r="AF100" s="454"/>
      <c r="AG100" s="454"/>
      <c r="AH100" s="454"/>
      <c r="AI100" s="454"/>
      <c r="AJ100" s="454"/>
      <c r="AK100" s="454"/>
      <c r="AL100" s="454"/>
      <c r="AM100" s="454"/>
      <c r="AN100" s="454"/>
      <c r="AO100" s="454"/>
      <c r="AP100" s="454"/>
      <c r="AQ100" s="454"/>
      <c r="AR100" s="454"/>
      <c r="AS100" s="454"/>
      <c r="AT100" s="454"/>
      <c r="AU100" s="454"/>
      <c r="AV100" s="454"/>
      <c r="AW100" s="454"/>
      <c r="AX100" s="454"/>
      <c r="AY100" s="486">
        <f t="shared" si="3"/>
        <v>4250</v>
      </c>
      <c r="AZ100" s="487">
        <f t="shared" si="4"/>
        <v>1</v>
      </c>
      <c r="BA100" s="454"/>
      <c r="BB100" s="454"/>
      <c r="BC100" s="454"/>
      <c r="BD100" s="454"/>
      <c r="BE100" s="454"/>
      <c r="BF100" s="454"/>
      <c r="BG100" s="454"/>
      <c r="BH100" s="454"/>
      <c r="BI100" s="454"/>
      <c r="BJ100" s="454"/>
      <c r="BK100" s="454"/>
      <c r="BL100" s="454"/>
      <c r="BM100" s="454"/>
      <c r="BN100" s="454"/>
      <c r="BO100" s="454"/>
      <c r="BP100" s="454"/>
      <c r="BQ100" s="454"/>
      <c r="BR100" s="454"/>
      <c r="BS100" s="454"/>
      <c r="BT100" s="454"/>
      <c r="BU100" s="454"/>
      <c r="BV100" s="454"/>
      <c r="BW100" s="454"/>
      <c r="BX100" s="454"/>
      <c r="BY100" s="454"/>
      <c r="BZ100" s="454"/>
      <c r="CA100" s="454"/>
      <c r="CB100" s="454"/>
      <c r="CC100" s="454"/>
      <c r="CD100" s="454"/>
      <c r="CE100" s="454"/>
      <c r="CF100" s="454"/>
      <c r="CG100" s="454"/>
      <c r="CH100" s="456"/>
      <c r="CI100" s="454"/>
      <c r="CJ100" s="454"/>
      <c r="CK100" s="454"/>
      <c r="CL100" s="454"/>
    </row>
    <row r="101" spans="1:90" s="461" customFormat="1" ht="12" customHeight="1" x14ac:dyDescent="0.15">
      <c r="A101" s="522" t="s">
        <v>321</v>
      </c>
      <c r="B101" s="467">
        <v>42401</v>
      </c>
      <c r="C101" s="468" t="s">
        <v>3894</v>
      </c>
      <c r="D101" s="468" t="s">
        <v>3737</v>
      </c>
      <c r="E101" s="468" t="s">
        <v>3967</v>
      </c>
      <c r="F101" s="468" t="s">
        <v>788</v>
      </c>
      <c r="G101" s="466">
        <v>1</v>
      </c>
      <c r="H101" s="465">
        <v>8.5</v>
      </c>
      <c r="I101" s="466"/>
      <c r="J101" s="466"/>
      <c r="K101" s="466">
        <v>6</v>
      </c>
      <c r="L101" s="525">
        <f>9/2</f>
        <v>4.5</v>
      </c>
      <c r="M101" s="463">
        <v>21000</v>
      </c>
      <c r="N101" s="468" t="s">
        <v>3889</v>
      </c>
      <c r="O101" s="466">
        <v>2</v>
      </c>
      <c r="P101" s="523">
        <v>-3.5</v>
      </c>
      <c r="Q101" s="462">
        <v>1.2525462962962961E-3</v>
      </c>
      <c r="R101" s="463">
        <v>5733</v>
      </c>
      <c r="S101" s="466"/>
      <c r="T101" s="524" t="s">
        <v>3995</v>
      </c>
      <c r="W101" s="460"/>
      <c r="AY101" s="486" t="str">
        <f t="shared" si="3"/>
        <v/>
      </c>
      <c r="AZ101" s="487" t="str">
        <f t="shared" si="4"/>
        <v/>
      </c>
      <c r="CH101" s="459"/>
    </row>
    <row r="102" spans="1:90" s="461" customFormat="1" ht="12" customHeight="1" x14ac:dyDescent="0.15">
      <c r="A102" s="522" t="s">
        <v>3064</v>
      </c>
      <c r="B102" s="467">
        <v>42401</v>
      </c>
      <c r="C102" s="468" t="s">
        <v>2511</v>
      </c>
      <c r="D102" s="468" t="s">
        <v>3877</v>
      </c>
      <c r="E102" s="468" t="s">
        <v>3878</v>
      </c>
      <c r="F102" s="468" t="s">
        <v>788</v>
      </c>
      <c r="G102" s="466">
        <v>6</v>
      </c>
      <c r="H102" s="465">
        <v>8</v>
      </c>
      <c r="I102" s="466" t="s">
        <v>961</v>
      </c>
      <c r="J102" s="466"/>
      <c r="K102" s="466">
        <v>8</v>
      </c>
      <c r="L102" s="525">
        <v>20</v>
      </c>
      <c r="M102" s="463">
        <v>40000</v>
      </c>
      <c r="N102" s="468" t="s">
        <v>3879</v>
      </c>
      <c r="O102" s="466">
        <v>7</v>
      </c>
      <c r="P102" s="523">
        <v>-10.5</v>
      </c>
      <c r="Q102" s="462">
        <v>1.1944444444444446E-3</v>
      </c>
      <c r="R102" s="463">
        <v>0</v>
      </c>
      <c r="S102" s="466"/>
      <c r="T102" s="524"/>
      <c r="W102" s="460"/>
      <c r="AY102" s="486" t="str">
        <f t="shared" si="3"/>
        <v/>
      </c>
      <c r="AZ102" s="487" t="str">
        <f t="shared" ref="AZ102:AZ133" si="5">IF(F102="Pleasant Meadows","",IF(L102="","",IF(O102="--","",IF(O102=1,1,""))))</f>
        <v/>
      </c>
      <c r="CH102" s="459"/>
    </row>
    <row r="103" spans="1:90" s="469" customFormat="1" ht="12" customHeight="1" x14ac:dyDescent="0.15">
      <c r="A103" s="444" t="s">
        <v>2480</v>
      </c>
      <c r="B103" s="445">
        <v>42405</v>
      </c>
      <c r="C103" s="446" t="s">
        <v>3992</v>
      </c>
      <c r="D103" s="446" t="s">
        <v>3990</v>
      </c>
      <c r="E103" s="446" t="s">
        <v>4034</v>
      </c>
      <c r="F103" s="446" t="s">
        <v>540</v>
      </c>
      <c r="G103" s="447">
        <v>2</v>
      </c>
      <c r="H103" s="448">
        <v>6</v>
      </c>
      <c r="I103" s="447"/>
      <c r="J103" s="447"/>
      <c r="K103" s="447">
        <v>8</v>
      </c>
      <c r="L103" s="449">
        <v>8</v>
      </c>
      <c r="M103" s="450">
        <v>22000</v>
      </c>
      <c r="N103" s="446" t="s">
        <v>3991</v>
      </c>
      <c r="O103" s="447">
        <v>1</v>
      </c>
      <c r="P103" s="451">
        <v>1.75</v>
      </c>
      <c r="Q103" s="452">
        <v>8.2858796296296294E-4</v>
      </c>
      <c r="R103" s="450">
        <v>11400</v>
      </c>
      <c r="S103" s="447"/>
      <c r="T103" s="453"/>
      <c r="U103" s="454"/>
      <c r="V103" s="454"/>
      <c r="W103" s="455"/>
      <c r="X103" s="454"/>
      <c r="Y103" s="454"/>
      <c r="Z103" s="454"/>
      <c r="AA103" s="454"/>
      <c r="AB103" s="454"/>
      <c r="AC103" s="454"/>
      <c r="AD103" s="454"/>
      <c r="AE103" s="454"/>
      <c r="AF103" s="454"/>
      <c r="AG103" s="454"/>
      <c r="AH103" s="454"/>
      <c r="AI103" s="454"/>
      <c r="AJ103" s="454"/>
      <c r="AK103" s="454"/>
      <c r="AL103" s="454"/>
      <c r="AM103" s="454"/>
      <c r="AN103" s="454"/>
      <c r="AO103" s="454"/>
      <c r="AP103" s="454"/>
      <c r="AQ103" s="454"/>
      <c r="AR103" s="454"/>
      <c r="AS103" s="454"/>
      <c r="AT103" s="454"/>
      <c r="AU103" s="454"/>
      <c r="AV103" s="454"/>
      <c r="AW103" s="454"/>
      <c r="AX103" s="454"/>
      <c r="AY103" s="486" t="str">
        <f t="shared" si="3"/>
        <v/>
      </c>
      <c r="AZ103" s="487">
        <f t="shared" si="5"/>
        <v>1</v>
      </c>
      <c r="BA103" s="487" t="str">
        <f>IF(G103="Pleasant Meadows","",IF(M103="","",IF(P103="--","",IF(P103=1,1,""))))</f>
        <v/>
      </c>
      <c r="BB103" s="454"/>
      <c r="BC103" s="454"/>
      <c r="BD103" s="454"/>
      <c r="BE103" s="454"/>
      <c r="BF103" s="454"/>
      <c r="BG103" s="454"/>
      <c r="BH103" s="454"/>
      <c r="BI103" s="454"/>
      <c r="BJ103" s="454"/>
      <c r="BK103" s="454"/>
      <c r="BL103" s="454"/>
      <c r="BM103" s="454"/>
      <c r="BN103" s="454"/>
      <c r="BO103" s="454"/>
      <c r="BP103" s="454"/>
      <c r="BQ103" s="454"/>
      <c r="BR103" s="454"/>
      <c r="BS103" s="454"/>
      <c r="BT103" s="454"/>
      <c r="BU103" s="454"/>
      <c r="BV103" s="454"/>
      <c r="BW103" s="454"/>
      <c r="BX103" s="454"/>
      <c r="BY103" s="454"/>
      <c r="BZ103" s="454"/>
      <c r="CA103" s="454"/>
      <c r="CB103" s="454"/>
      <c r="CC103" s="454"/>
      <c r="CD103" s="454"/>
      <c r="CE103" s="454"/>
      <c r="CF103" s="454"/>
      <c r="CG103" s="454"/>
      <c r="CH103" s="456"/>
      <c r="CI103" s="454"/>
      <c r="CJ103" s="454"/>
      <c r="CK103" s="454"/>
      <c r="CL103" s="454"/>
    </row>
    <row r="104" spans="1:90" s="469" customFormat="1" ht="12" customHeight="1" x14ac:dyDescent="0.15">
      <c r="A104" s="444" t="s">
        <v>3821</v>
      </c>
      <c r="B104" s="445">
        <v>42405</v>
      </c>
      <c r="C104" s="446" t="s">
        <v>3822</v>
      </c>
      <c r="D104" s="446" t="s">
        <v>3823</v>
      </c>
      <c r="E104" s="446" t="s">
        <v>3844</v>
      </c>
      <c r="F104" s="446" t="s">
        <v>3686</v>
      </c>
      <c r="G104" s="447">
        <v>7</v>
      </c>
      <c r="H104" s="448">
        <v>6.5</v>
      </c>
      <c r="I104" s="447"/>
      <c r="J104" s="447"/>
      <c r="K104" s="447">
        <v>10</v>
      </c>
      <c r="L104" s="448" t="s">
        <v>431</v>
      </c>
      <c r="M104" s="450">
        <v>6545</v>
      </c>
      <c r="N104" s="446" t="s">
        <v>3653</v>
      </c>
      <c r="O104" s="447">
        <v>1</v>
      </c>
      <c r="P104" s="451">
        <v>2.75</v>
      </c>
      <c r="Q104" s="452">
        <v>9.2939814814814827E-4</v>
      </c>
      <c r="R104" s="450">
        <v>3814</v>
      </c>
      <c r="S104" s="447" t="s">
        <v>625</v>
      </c>
      <c r="T104" s="453"/>
      <c r="U104" s="454"/>
      <c r="V104" s="454"/>
      <c r="W104" s="455"/>
      <c r="X104" s="454"/>
      <c r="Y104" s="454"/>
      <c r="Z104" s="454"/>
      <c r="AA104" s="454"/>
      <c r="AB104" s="454"/>
      <c r="AC104" s="454"/>
      <c r="AD104" s="454"/>
      <c r="AE104" s="454"/>
      <c r="AF104" s="454"/>
      <c r="AG104" s="454"/>
      <c r="AH104" s="454"/>
      <c r="AI104" s="454"/>
      <c r="AJ104" s="454"/>
      <c r="AK104" s="454"/>
      <c r="AL104" s="454"/>
      <c r="AM104" s="454"/>
      <c r="AN104" s="454"/>
      <c r="AO104" s="454"/>
      <c r="AP104" s="454"/>
      <c r="AQ104" s="454"/>
      <c r="AR104" s="454"/>
      <c r="AS104" s="454"/>
      <c r="AT104" s="454"/>
      <c r="AU104" s="454"/>
      <c r="AV104" s="454"/>
      <c r="AW104" s="454"/>
      <c r="AX104" s="454"/>
      <c r="AY104" s="486">
        <f t="shared" si="3"/>
        <v>3814</v>
      </c>
      <c r="AZ104" s="487">
        <f t="shared" si="5"/>
        <v>1</v>
      </c>
      <c r="BA104" s="454"/>
      <c r="BB104" s="454"/>
      <c r="BC104" s="454"/>
      <c r="BD104" s="454"/>
      <c r="BE104" s="454"/>
      <c r="BF104" s="454"/>
      <c r="BG104" s="454"/>
      <c r="BH104" s="454"/>
      <c r="BI104" s="454"/>
      <c r="BJ104" s="454"/>
      <c r="BK104" s="454"/>
      <c r="BL104" s="454"/>
      <c r="BM104" s="454"/>
      <c r="BN104" s="454"/>
      <c r="BO104" s="454"/>
      <c r="BP104" s="454"/>
      <c r="BQ104" s="454"/>
      <c r="BR104" s="454"/>
      <c r="BS104" s="454"/>
      <c r="BT104" s="454"/>
      <c r="BU104" s="454"/>
      <c r="BV104" s="454"/>
      <c r="BW104" s="454"/>
      <c r="BX104" s="454"/>
      <c r="BY104" s="454"/>
      <c r="BZ104" s="454"/>
      <c r="CA104" s="454"/>
      <c r="CB104" s="454"/>
      <c r="CC104" s="454"/>
      <c r="CD104" s="454"/>
      <c r="CE104" s="454"/>
      <c r="CF104" s="454"/>
      <c r="CG104" s="454"/>
      <c r="CH104" s="456"/>
      <c r="CI104" s="454"/>
      <c r="CJ104" s="454"/>
      <c r="CK104" s="454"/>
      <c r="CL104" s="454"/>
    </row>
    <row r="105" spans="1:90" s="461" customFormat="1" ht="12" customHeight="1" x14ac:dyDescent="0.15">
      <c r="A105" s="522" t="s">
        <v>3362</v>
      </c>
      <c r="B105" s="467">
        <v>42406</v>
      </c>
      <c r="C105" s="468" t="s">
        <v>2521</v>
      </c>
      <c r="D105" s="468" t="s">
        <v>3098</v>
      </c>
      <c r="E105" s="468" t="s">
        <v>4024</v>
      </c>
      <c r="F105" s="468" t="s">
        <v>3644</v>
      </c>
      <c r="G105" s="466">
        <v>5</v>
      </c>
      <c r="H105" s="465">
        <v>12</v>
      </c>
      <c r="I105" s="466"/>
      <c r="J105" s="466"/>
      <c r="K105" s="466">
        <v>13</v>
      </c>
      <c r="L105" s="464" t="s">
        <v>431</v>
      </c>
      <c r="M105" s="463">
        <v>31995</v>
      </c>
      <c r="N105" s="468" t="s">
        <v>3997</v>
      </c>
      <c r="O105" s="466">
        <v>5</v>
      </c>
      <c r="P105" s="523">
        <v>-27.25</v>
      </c>
      <c r="Q105" s="462">
        <v>1.7552083333333332E-3</v>
      </c>
      <c r="R105" s="463">
        <v>3200</v>
      </c>
      <c r="S105" s="466" t="s">
        <v>625</v>
      </c>
      <c r="T105" s="524"/>
      <c r="W105" s="460"/>
      <c r="AY105" s="486">
        <f t="shared" si="3"/>
        <v>3200</v>
      </c>
      <c r="AZ105" s="487" t="str">
        <f t="shared" si="5"/>
        <v/>
      </c>
      <c r="CH105" s="459"/>
    </row>
    <row r="106" spans="1:90" s="461" customFormat="1" ht="12" customHeight="1" x14ac:dyDescent="0.15">
      <c r="A106" s="522" t="s">
        <v>3183</v>
      </c>
      <c r="B106" s="467">
        <v>42406</v>
      </c>
      <c r="C106" s="468" t="s">
        <v>4027</v>
      </c>
      <c r="D106" s="468" t="s">
        <v>4028</v>
      </c>
      <c r="E106" s="468" t="s">
        <v>4029</v>
      </c>
      <c r="F106" s="468" t="s">
        <v>540</v>
      </c>
      <c r="G106" s="466">
        <v>3</v>
      </c>
      <c r="H106" s="465">
        <v>6</v>
      </c>
      <c r="I106" s="466"/>
      <c r="J106" s="466"/>
      <c r="K106" s="466">
        <v>10</v>
      </c>
      <c r="L106" s="525">
        <v>20</v>
      </c>
      <c r="M106" s="463">
        <v>26000</v>
      </c>
      <c r="N106" s="468" t="s">
        <v>4031</v>
      </c>
      <c r="O106" s="466">
        <v>6</v>
      </c>
      <c r="P106" s="523">
        <v>-14.25</v>
      </c>
      <c r="Q106" s="462">
        <v>8.1840277777777781E-4</v>
      </c>
      <c r="R106" s="463">
        <v>220</v>
      </c>
      <c r="S106" s="466"/>
      <c r="T106" s="524"/>
      <c r="W106" s="460"/>
      <c r="AY106" s="486" t="str">
        <f t="shared" si="3"/>
        <v/>
      </c>
      <c r="AZ106" s="487" t="str">
        <f t="shared" si="5"/>
        <v/>
      </c>
      <c r="CH106" s="459"/>
    </row>
    <row r="107" spans="1:90" s="461" customFormat="1" ht="12" customHeight="1" x14ac:dyDescent="0.15">
      <c r="A107" s="522" t="s">
        <v>3838</v>
      </c>
      <c r="B107" s="467">
        <v>42406</v>
      </c>
      <c r="C107" s="468" t="s">
        <v>3841</v>
      </c>
      <c r="D107" s="468" t="s">
        <v>3837</v>
      </c>
      <c r="E107" s="468" t="s">
        <v>3695</v>
      </c>
      <c r="F107" s="468" t="s">
        <v>3836</v>
      </c>
      <c r="G107" s="466">
        <v>5</v>
      </c>
      <c r="H107" s="465">
        <v>10</v>
      </c>
      <c r="I107" s="466"/>
      <c r="J107" s="466"/>
      <c r="K107" s="466">
        <v>4</v>
      </c>
      <c r="L107" s="464" t="s">
        <v>431</v>
      </c>
      <c r="M107" s="463">
        <v>2291</v>
      </c>
      <c r="N107" s="468" t="s">
        <v>4007</v>
      </c>
      <c r="O107" s="466">
        <v>2</v>
      </c>
      <c r="P107" s="523">
        <v>-1.25</v>
      </c>
      <c r="Q107" s="462">
        <v>1.5487268518518521E-3</v>
      </c>
      <c r="R107" s="463">
        <v>257</v>
      </c>
      <c r="S107" s="466" t="s">
        <v>625</v>
      </c>
      <c r="T107" s="524"/>
      <c r="W107" s="460"/>
      <c r="AY107" s="486">
        <f t="shared" si="3"/>
        <v>257</v>
      </c>
      <c r="AZ107" s="487" t="str">
        <f t="shared" si="5"/>
        <v/>
      </c>
      <c r="CH107" s="459"/>
    </row>
    <row r="108" spans="1:90" s="469" customFormat="1" ht="12" customHeight="1" x14ac:dyDescent="0.15">
      <c r="A108" s="444" t="s">
        <v>3310</v>
      </c>
      <c r="B108" s="445">
        <v>42406</v>
      </c>
      <c r="C108" s="446" t="s">
        <v>3311</v>
      </c>
      <c r="D108" s="446" t="s">
        <v>3485</v>
      </c>
      <c r="E108" s="446" t="s">
        <v>3695</v>
      </c>
      <c r="F108" s="446" t="s">
        <v>3685</v>
      </c>
      <c r="G108" s="447">
        <v>5</v>
      </c>
      <c r="H108" s="448">
        <v>10</v>
      </c>
      <c r="I108" s="447"/>
      <c r="J108" s="447"/>
      <c r="K108" s="447">
        <v>8</v>
      </c>
      <c r="L108" s="448" t="s">
        <v>431</v>
      </c>
      <c r="M108" s="450">
        <v>38389</v>
      </c>
      <c r="N108" s="446" t="s">
        <v>4008</v>
      </c>
      <c r="O108" s="447">
        <v>1</v>
      </c>
      <c r="P108" s="451">
        <v>0.5</v>
      </c>
      <c r="Q108" s="452">
        <v>1.4572916666666666E-3</v>
      </c>
      <c r="R108" s="450">
        <v>22945</v>
      </c>
      <c r="S108" s="447" t="s">
        <v>625</v>
      </c>
      <c r="T108" s="453"/>
      <c r="U108" s="454"/>
      <c r="V108" s="454"/>
      <c r="W108" s="455"/>
      <c r="X108" s="454"/>
      <c r="Y108" s="454"/>
      <c r="Z108" s="454"/>
      <c r="AA108" s="454"/>
      <c r="AB108" s="454"/>
      <c r="AC108" s="454"/>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4"/>
      <c r="AY108" s="486">
        <f t="shared" si="3"/>
        <v>22945</v>
      </c>
      <c r="AZ108" s="487">
        <f t="shared" si="5"/>
        <v>1</v>
      </c>
      <c r="BA108" s="454"/>
      <c r="BB108" s="454"/>
      <c r="BC108" s="454"/>
      <c r="BD108" s="454"/>
      <c r="BE108" s="454"/>
      <c r="BF108" s="454"/>
      <c r="BG108" s="454"/>
      <c r="BH108" s="454"/>
      <c r="BI108" s="454"/>
      <c r="BJ108" s="454"/>
      <c r="BK108" s="454"/>
      <c r="BL108" s="454"/>
      <c r="BM108" s="454"/>
      <c r="BN108" s="454"/>
      <c r="BO108" s="454"/>
      <c r="BP108" s="454"/>
      <c r="BQ108" s="454"/>
      <c r="BR108" s="454"/>
      <c r="BS108" s="454"/>
      <c r="BT108" s="454"/>
      <c r="BU108" s="454"/>
      <c r="BV108" s="454"/>
      <c r="BW108" s="454"/>
      <c r="BX108" s="454"/>
      <c r="BY108" s="454"/>
      <c r="BZ108" s="454"/>
      <c r="CA108" s="454"/>
      <c r="CB108" s="454"/>
      <c r="CC108" s="454"/>
      <c r="CD108" s="454"/>
      <c r="CE108" s="454"/>
      <c r="CF108" s="454"/>
      <c r="CG108" s="454"/>
      <c r="CH108" s="456"/>
      <c r="CI108" s="454"/>
      <c r="CJ108" s="454"/>
      <c r="CK108" s="454"/>
      <c r="CL108" s="454"/>
    </row>
    <row r="109" spans="1:90" s="469" customFormat="1" ht="12" customHeight="1" x14ac:dyDescent="0.15">
      <c r="A109" s="444" t="s">
        <v>1943</v>
      </c>
      <c r="B109" s="445">
        <v>42406</v>
      </c>
      <c r="C109" s="446" t="s">
        <v>3736</v>
      </c>
      <c r="D109" s="446" t="s">
        <v>3737</v>
      </c>
      <c r="E109" s="446" t="s">
        <v>3968</v>
      </c>
      <c r="F109" s="446" t="s">
        <v>595</v>
      </c>
      <c r="G109" s="447">
        <v>3</v>
      </c>
      <c r="H109" s="448">
        <v>8</v>
      </c>
      <c r="I109" s="447"/>
      <c r="J109" s="447"/>
      <c r="K109" s="447">
        <v>9</v>
      </c>
      <c r="L109" s="449">
        <v>5</v>
      </c>
      <c r="M109" s="450">
        <v>39000</v>
      </c>
      <c r="N109" s="446" t="s">
        <v>3970</v>
      </c>
      <c r="O109" s="447">
        <v>1</v>
      </c>
      <c r="P109" s="451">
        <v>1.5</v>
      </c>
      <c r="Q109" s="452">
        <v>1.1341435185185185E-3</v>
      </c>
      <c r="R109" s="450">
        <v>23400</v>
      </c>
      <c r="S109" s="447"/>
      <c r="T109" s="453"/>
      <c r="U109" s="454"/>
      <c r="V109" s="454"/>
      <c r="W109" s="455"/>
      <c r="X109" s="454"/>
      <c r="Y109" s="454"/>
      <c r="Z109" s="454"/>
      <c r="AA109" s="454"/>
      <c r="AB109" s="454"/>
      <c r="AC109" s="454"/>
      <c r="AD109" s="454"/>
      <c r="AE109" s="454"/>
      <c r="AF109" s="454"/>
      <c r="AG109" s="454"/>
      <c r="AH109" s="454"/>
      <c r="AI109" s="454"/>
      <c r="AJ109" s="454"/>
      <c r="AK109" s="454"/>
      <c r="AL109" s="454"/>
      <c r="AM109" s="454"/>
      <c r="AN109" s="454"/>
      <c r="AO109" s="454"/>
      <c r="AP109" s="454"/>
      <c r="AQ109" s="454"/>
      <c r="AR109" s="454"/>
      <c r="AS109" s="454"/>
      <c r="AT109" s="454"/>
      <c r="AU109" s="454"/>
      <c r="AV109" s="454"/>
      <c r="AW109" s="454"/>
      <c r="AX109" s="454"/>
      <c r="AY109" s="486" t="str">
        <f t="shared" si="3"/>
        <v/>
      </c>
      <c r="AZ109" s="487">
        <f t="shared" si="5"/>
        <v>1</v>
      </c>
      <c r="BA109" s="454"/>
      <c r="BB109" s="454"/>
      <c r="BC109" s="454"/>
      <c r="BD109" s="454"/>
      <c r="BE109" s="454"/>
      <c r="BF109" s="454"/>
      <c r="BG109" s="454"/>
      <c r="BH109" s="454"/>
      <c r="BI109" s="454"/>
      <c r="BJ109" s="454"/>
      <c r="BK109" s="454"/>
      <c r="BL109" s="454"/>
      <c r="BM109" s="454"/>
      <c r="BN109" s="454"/>
      <c r="BO109" s="454"/>
      <c r="BP109" s="454"/>
      <c r="BQ109" s="454"/>
      <c r="BR109" s="454"/>
      <c r="BS109" s="454"/>
      <c r="BT109" s="454"/>
      <c r="BU109" s="454"/>
      <c r="BV109" s="454"/>
      <c r="BW109" s="454"/>
      <c r="BX109" s="454"/>
      <c r="BY109" s="454"/>
      <c r="BZ109" s="454"/>
      <c r="CA109" s="454"/>
      <c r="CB109" s="454"/>
      <c r="CC109" s="454"/>
      <c r="CD109" s="454"/>
      <c r="CE109" s="454"/>
      <c r="CF109" s="454"/>
      <c r="CG109" s="454"/>
      <c r="CH109" s="456"/>
      <c r="CI109" s="454"/>
      <c r="CJ109" s="454"/>
      <c r="CK109" s="454"/>
      <c r="CL109" s="454"/>
    </row>
    <row r="110" spans="1:90" s="469" customFormat="1" ht="12" customHeight="1" x14ac:dyDescent="0.15">
      <c r="A110" s="471" t="s">
        <v>2364</v>
      </c>
      <c r="B110" s="472">
        <v>42406</v>
      </c>
      <c r="C110" s="471" t="s">
        <v>3922</v>
      </c>
      <c r="D110" s="471" t="s">
        <v>3923</v>
      </c>
      <c r="E110" s="471" t="s">
        <v>3924</v>
      </c>
      <c r="F110" s="471" t="s">
        <v>1068</v>
      </c>
      <c r="G110" s="473">
        <v>4</v>
      </c>
      <c r="H110" s="474">
        <v>5.5</v>
      </c>
      <c r="I110" s="475"/>
      <c r="J110" s="475"/>
      <c r="K110" s="473">
        <v>12</v>
      </c>
      <c r="L110" s="458">
        <v>15</v>
      </c>
      <c r="M110" s="476">
        <v>16500</v>
      </c>
      <c r="N110" s="471" t="s">
        <v>3889</v>
      </c>
      <c r="O110" s="477" t="s">
        <v>431</v>
      </c>
      <c r="P110" s="478" t="s">
        <v>431</v>
      </c>
      <c r="Q110" s="479" t="s">
        <v>431</v>
      </c>
      <c r="R110" s="480" t="s">
        <v>431</v>
      </c>
      <c r="S110" s="477"/>
      <c r="T110" s="481" t="s">
        <v>4038</v>
      </c>
      <c r="U110" s="482"/>
      <c r="V110" s="482"/>
      <c r="W110" s="483"/>
      <c r="X110" s="482"/>
      <c r="Y110" s="482"/>
      <c r="Z110" s="482"/>
      <c r="AA110" s="482"/>
      <c r="AB110" s="482"/>
      <c r="AC110" s="482"/>
      <c r="AD110" s="482"/>
      <c r="AE110" s="482"/>
      <c r="AF110" s="482"/>
      <c r="AG110" s="482"/>
      <c r="AH110" s="482"/>
      <c r="AI110" s="482"/>
      <c r="AJ110" s="482"/>
      <c r="AK110" s="482"/>
      <c r="AL110" s="482"/>
      <c r="AM110" s="482"/>
      <c r="AN110" s="482"/>
      <c r="AO110" s="482"/>
      <c r="AP110" s="482"/>
      <c r="AQ110" s="482"/>
      <c r="AR110" s="482"/>
      <c r="AS110" s="482"/>
      <c r="AT110" s="482"/>
      <c r="AU110" s="482"/>
      <c r="AV110" s="482"/>
      <c r="AW110" s="482"/>
      <c r="AX110" s="482"/>
      <c r="AY110" s="486" t="str">
        <f t="shared" si="3"/>
        <v/>
      </c>
      <c r="AZ110" s="487" t="str">
        <f t="shared" si="5"/>
        <v/>
      </c>
      <c r="BA110" s="482"/>
      <c r="BB110" s="482"/>
      <c r="BC110" s="482"/>
      <c r="BD110" s="482"/>
      <c r="BE110" s="482"/>
      <c r="BF110" s="482"/>
      <c r="BG110" s="482"/>
      <c r="BH110" s="482"/>
      <c r="BI110" s="482"/>
      <c r="BJ110" s="482"/>
      <c r="BK110" s="482"/>
      <c r="BL110" s="482"/>
      <c r="BM110" s="482"/>
      <c r="BN110" s="482"/>
      <c r="BO110" s="482"/>
      <c r="BP110" s="482"/>
      <c r="BQ110" s="482"/>
      <c r="BR110" s="482"/>
      <c r="BS110" s="482"/>
      <c r="BT110" s="482"/>
      <c r="BU110" s="482"/>
      <c r="BV110" s="482"/>
      <c r="BW110" s="482"/>
      <c r="BX110" s="482"/>
      <c r="BY110" s="482"/>
      <c r="BZ110" s="482"/>
      <c r="CA110" s="482"/>
      <c r="CB110" s="482"/>
      <c r="CC110" s="482"/>
      <c r="CD110" s="482"/>
      <c r="CE110" s="482"/>
      <c r="CF110" s="482"/>
      <c r="CG110" s="482"/>
      <c r="CH110" s="484"/>
    </row>
    <row r="111" spans="1:90" s="469" customFormat="1" ht="12" customHeight="1" x14ac:dyDescent="0.15">
      <c r="A111" s="471" t="s">
        <v>4045</v>
      </c>
      <c r="B111" s="472">
        <v>42406</v>
      </c>
      <c r="C111" s="471" t="s">
        <v>3831</v>
      </c>
      <c r="D111" s="471" t="s">
        <v>3833</v>
      </c>
      <c r="E111" s="471" t="s">
        <v>3845</v>
      </c>
      <c r="F111" s="471" t="s">
        <v>3685</v>
      </c>
      <c r="G111" s="473">
        <v>10</v>
      </c>
      <c r="H111" s="474">
        <v>6</v>
      </c>
      <c r="I111" s="475"/>
      <c r="J111" s="475"/>
      <c r="K111" s="473">
        <v>14</v>
      </c>
      <c r="L111" s="485" t="s">
        <v>431</v>
      </c>
      <c r="M111" s="476">
        <v>3364</v>
      </c>
      <c r="N111" s="471" t="s">
        <v>3348</v>
      </c>
      <c r="O111" s="477" t="s">
        <v>431</v>
      </c>
      <c r="P111" s="478" t="s">
        <v>431</v>
      </c>
      <c r="Q111" s="479" t="s">
        <v>431</v>
      </c>
      <c r="R111" s="480" t="s">
        <v>431</v>
      </c>
      <c r="S111" s="477" t="s">
        <v>625</v>
      </c>
      <c r="T111" s="481"/>
      <c r="U111" s="482"/>
      <c r="V111" s="482"/>
      <c r="W111" s="483"/>
      <c r="X111" s="482"/>
      <c r="Y111" s="482"/>
      <c r="Z111" s="482"/>
      <c r="AA111" s="482"/>
      <c r="AB111" s="482"/>
      <c r="AC111" s="482"/>
      <c r="AD111" s="482"/>
      <c r="AE111" s="482"/>
      <c r="AF111" s="482"/>
      <c r="AG111" s="482"/>
      <c r="AH111" s="482"/>
      <c r="AI111" s="482"/>
      <c r="AJ111" s="482"/>
      <c r="AK111" s="482"/>
      <c r="AL111" s="482"/>
      <c r="AM111" s="482"/>
      <c r="AN111" s="482"/>
      <c r="AO111" s="482"/>
      <c r="AP111" s="482"/>
      <c r="AQ111" s="482"/>
      <c r="AR111" s="482"/>
      <c r="AS111" s="482"/>
      <c r="AT111" s="482"/>
      <c r="AU111" s="482"/>
      <c r="AV111" s="482"/>
      <c r="AW111" s="482"/>
      <c r="AX111" s="482"/>
      <c r="AY111" s="486" t="str">
        <f t="shared" si="3"/>
        <v>--</v>
      </c>
      <c r="AZ111" s="487" t="str">
        <f t="shared" si="5"/>
        <v/>
      </c>
      <c r="BA111" s="482"/>
      <c r="BB111" s="482"/>
      <c r="BC111" s="482"/>
      <c r="BD111" s="482"/>
      <c r="BE111" s="482"/>
      <c r="BF111" s="482"/>
      <c r="BG111" s="482"/>
      <c r="BH111" s="482"/>
      <c r="BI111" s="482"/>
      <c r="BJ111" s="482"/>
      <c r="BK111" s="482"/>
      <c r="BL111" s="482"/>
      <c r="BM111" s="482"/>
      <c r="BN111" s="482"/>
      <c r="BO111" s="482"/>
      <c r="BP111" s="482"/>
      <c r="BQ111" s="482"/>
      <c r="BR111" s="482"/>
      <c r="BS111" s="482"/>
      <c r="BT111" s="482"/>
      <c r="BU111" s="482"/>
      <c r="BV111" s="482"/>
      <c r="BW111" s="482"/>
      <c r="BX111" s="482"/>
      <c r="BY111" s="482"/>
      <c r="BZ111" s="482"/>
      <c r="CA111" s="482"/>
      <c r="CB111" s="482"/>
      <c r="CC111" s="482"/>
      <c r="CD111" s="482"/>
      <c r="CE111" s="482"/>
      <c r="CF111" s="482"/>
      <c r="CG111" s="482"/>
      <c r="CH111" s="484"/>
    </row>
    <row r="112" spans="1:90" s="461" customFormat="1" ht="12" customHeight="1" x14ac:dyDescent="0.15">
      <c r="A112" s="522" t="s">
        <v>3694</v>
      </c>
      <c r="B112" s="467">
        <v>42406</v>
      </c>
      <c r="C112" s="468" t="s">
        <v>3719</v>
      </c>
      <c r="D112" s="468" t="s">
        <v>3721</v>
      </c>
      <c r="E112" s="468" t="s">
        <v>3720</v>
      </c>
      <c r="F112" s="468" t="s">
        <v>993</v>
      </c>
      <c r="G112" s="466">
        <v>5</v>
      </c>
      <c r="H112" s="465">
        <v>4.5</v>
      </c>
      <c r="I112" s="466"/>
      <c r="J112" s="466"/>
      <c r="K112" s="466">
        <v>10</v>
      </c>
      <c r="L112" s="525">
        <v>15</v>
      </c>
      <c r="M112" s="463">
        <v>23000</v>
      </c>
      <c r="N112" s="468" t="s">
        <v>3718</v>
      </c>
      <c r="O112" s="466">
        <v>2</v>
      </c>
      <c r="P112" s="523">
        <v>-0.75</v>
      </c>
      <c r="Q112" s="462">
        <v>6.1770833333333328E-4</v>
      </c>
      <c r="R112" s="463">
        <v>4540</v>
      </c>
      <c r="S112" s="466"/>
      <c r="T112" s="524"/>
      <c r="W112" s="460"/>
      <c r="AY112" s="486" t="str">
        <f t="shared" si="3"/>
        <v/>
      </c>
      <c r="AZ112" s="487" t="str">
        <f t="shared" si="5"/>
        <v/>
      </c>
      <c r="CH112" s="459"/>
    </row>
    <row r="113" spans="1:90" s="461" customFormat="1" ht="12" customHeight="1" x14ac:dyDescent="0.15">
      <c r="A113" s="522" t="s">
        <v>4002</v>
      </c>
      <c r="B113" s="467">
        <v>42407</v>
      </c>
      <c r="C113" s="468" t="s">
        <v>3724</v>
      </c>
      <c r="D113" s="468" t="s">
        <v>3727</v>
      </c>
      <c r="E113" s="468" t="s">
        <v>4764</v>
      </c>
      <c r="F113" s="468" t="s">
        <v>3686</v>
      </c>
      <c r="G113" s="466">
        <v>3</v>
      </c>
      <c r="H113" s="465">
        <v>6.5</v>
      </c>
      <c r="I113" s="466"/>
      <c r="J113" s="466"/>
      <c r="K113" s="466">
        <v>10</v>
      </c>
      <c r="L113" s="464" t="s">
        <v>431</v>
      </c>
      <c r="M113" s="463">
        <v>6545</v>
      </c>
      <c r="N113" s="468" t="s">
        <v>3653</v>
      </c>
      <c r="O113" s="466">
        <v>3</v>
      </c>
      <c r="P113" s="523">
        <v>-6.75</v>
      </c>
      <c r="Q113" s="462">
        <v>9.00925925925926E-4</v>
      </c>
      <c r="R113" s="463">
        <v>381</v>
      </c>
      <c r="S113" s="466" t="s">
        <v>625</v>
      </c>
      <c r="T113" s="524"/>
      <c r="W113" s="460"/>
      <c r="AY113" s="486">
        <f t="shared" si="3"/>
        <v>381</v>
      </c>
      <c r="AZ113" s="487" t="str">
        <f t="shared" si="5"/>
        <v/>
      </c>
      <c r="CH113" s="459"/>
    </row>
    <row r="114" spans="1:90" s="461" customFormat="1" ht="12" customHeight="1" x14ac:dyDescent="0.15">
      <c r="A114" s="522" t="s">
        <v>4009</v>
      </c>
      <c r="B114" s="467">
        <v>42407</v>
      </c>
      <c r="C114" s="468" t="s">
        <v>4013</v>
      </c>
      <c r="D114" s="468" t="s">
        <v>4014</v>
      </c>
      <c r="E114" s="468" t="s">
        <v>3956</v>
      </c>
      <c r="F114" s="468" t="s">
        <v>3686</v>
      </c>
      <c r="G114" s="466">
        <v>3</v>
      </c>
      <c r="H114" s="465">
        <v>6.5</v>
      </c>
      <c r="I114" s="466"/>
      <c r="J114" s="466"/>
      <c r="K114" s="466">
        <v>10</v>
      </c>
      <c r="L114" s="464" t="s">
        <v>431</v>
      </c>
      <c r="M114" s="463">
        <v>6545</v>
      </c>
      <c r="N114" s="468" t="s">
        <v>3653</v>
      </c>
      <c r="O114" s="466">
        <v>5</v>
      </c>
      <c r="P114" s="523">
        <v>-10.75</v>
      </c>
      <c r="Q114" s="462">
        <v>9.00925925925926E-4</v>
      </c>
      <c r="R114" s="463">
        <v>99</v>
      </c>
      <c r="S114" s="466" t="s">
        <v>625</v>
      </c>
      <c r="T114" s="524"/>
      <c r="W114" s="460"/>
      <c r="AY114" s="486">
        <f t="shared" si="3"/>
        <v>99</v>
      </c>
      <c r="AZ114" s="487" t="str">
        <f t="shared" si="5"/>
        <v/>
      </c>
      <c r="CH114" s="459"/>
    </row>
    <row r="115" spans="1:90" s="469" customFormat="1" ht="12" customHeight="1" x14ac:dyDescent="0.15">
      <c r="A115" s="471" t="s">
        <v>1294</v>
      </c>
      <c r="B115" s="472">
        <v>42407</v>
      </c>
      <c r="C115" s="471" t="s">
        <v>3969</v>
      </c>
      <c r="D115" s="471" t="s">
        <v>3728</v>
      </c>
      <c r="E115" s="471" t="s">
        <v>3729</v>
      </c>
      <c r="F115" s="471" t="s">
        <v>595</v>
      </c>
      <c r="G115" s="473">
        <v>4</v>
      </c>
      <c r="H115" s="474">
        <v>8.5</v>
      </c>
      <c r="I115" s="475"/>
      <c r="J115" s="475"/>
      <c r="K115" s="473">
        <v>11</v>
      </c>
      <c r="L115" s="458">
        <v>8</v>
      </c>
      <c r="M115" s="476">
        <v>23000</v>
      </c>
      <c r="N115" s="471" t="s">
        <v>3971</v>
      </c>
      <c r="O115" s="477" t="s">
        <v>431</v>
      </c>
      <c r="P115" s="478" t="s">
        <v>431</v>
      </c>
      <c r="Q115" s="479" t="s">
        <v>431</v>
      </c>
      <c r="R115" s="480" t="s">
        <v>431</v>
      </c>
      <c r="S115" s="477"/>
      <c r="T115" s="481" t="s">
        <v>4057</v>
      </c>
      <c r="U115" s="482"/>
      <c r="V115" s="482"/>
      <c r="W115" s="483"/>
      <c r="X115" s="482"/>
      <c r="Y115" s="482"/>
      <c r="Z115" s="482"/>
      <c r="AA115" s="482"/>
      <c r="AB115" s="482"/>
      <c r="AC115" s="482"/>
      <c r="AD115" s="482"/>
      <c r="AE115" s="482"/>
      <c r="AF115" s="482"/>
      <c r="AG115" s="482"/>
      <c r="AH115" s="482"/>
      <c r="AI115" s="482"/>
      <c r="AJ115" s="482"/>
      <c r="AK115" s="482"/>
      <c r="AL115" s="482"/>
      <c r="AM115" s="482"/>
      <c r="AN115" s="482"/>
      <c r="AO115" s="482"/>
      <c r="AP115" s="482"/>
      <c r="AQ115" s="482"/>
      <c r="AR115" s="482"/>
      <c r="AS115" s="482"/>
      <c r="AT115" s="482"/>
      <c r="AU115" s="482"/>
      <c r="AV115" s="482"/>
      <c r="AW115" s="482"/>
      <c r="AX115" s="482"/>
      <c r="AY115" s="486" t="str">
        <f t="shared" si="3"/>
        <v/>
      </c>
      <c r="AZ115" s="487" t="str">
        <f t="shared" si="5"/>
        <v/>
      </c>
      <c r="BA115" s="482"/>
      <c r="BB115" s="482"/>
      <c r="BC115" s="482"/>
      <c r="BD115" s="482"/>
      <c r="BE115" s="482"/>
      <c r="BF115" s="482"/>
      <c r="BG115" s="482"/>
      <c r="BH115" s="482"/>
      <c r="BI115" s="482"/>
      <c r="BJ115" s="482"/>
      <c r="BK115" s="482"/>
      <c r="BL115" s="482"/>
      <c r="BM115" s="482"/>
      <c r="BN115" s="482"/>
      <c r="BO115" s="482"/>
      <c r="BP115" s="482"/>
      <c r="BQ115" s="482"/>
      <c r="BR115" s="482"/>
      <c r="BS115" s="482"/>
      <c r="BT115" s="482"/>
      <c r="BU115" s="482"/>
      <c r="BV115" s="482"/>
      <c r="BW115" s="482"/>
      <c r="BX115" s="482"/>
      <c r="BY115" s="482"/>
      <c r="BZ115" s="482"/>
      <c r="CA115" s="482"/>
      <c r="CB115" s="482"/>
      <c r="CC115" s="482"/>
      <c r="CD115" s="482"/>
      <c r="CE115" s="482"/>
      <c r="CF115" s="482"/>
      <c r="CG115" s="482"/>
      <c r="CH115" s="484"/>
    </row>
    <row r="116" spans="1:90" s="461" customFormat="1" ht="12" customHeight="1" x14ac:dyDescent="0.15">
      <c r="A116" s="522" t="s">
        <v>4010</v>
      </c>
      <c r="B116" s="467">
        <v>42407</v>
      </c>
      <c r="C116" s="468" t="s">
        <v>4015</v>
      </c>
      <c r="D116" s="468" t="s">
        <v>4016</v>
      </c>
      <c r="E116" s="468" t="s">
        <v>4023</v>
      </c>
      <c r="F116" s="468" t="s">
        <v>3686</v>
      </c>
      <c r="G116" s="466">
        <v>7</v>
      </c>
      <c r="H116" s="465">
        <v>7</v>
      </c>
      <c r="I116" s="466"/>
      <c r="J116" s="466"/>
      <c r="K116" s="466">
        <v>14</v>
      </c>
      <c r="L116" s="464" t="s">
        <v>431</v>
      </c>
      <c r="M116" s="463">
        <v>7487</v>
      </c>
      <c r="N116" s="468" t="s">
        <v>3225</v>
      </c>
      <c r="O116" s="466">
        <v>2</v>
      </c>
      <c r="P116" s="523">
        <v>-1</v>
      </c>
      <c r="Q116" s="462">
        <v>9.814814814814814E-4</v>
      </c>
      <c r="R116" s="463">
        <v>1566</v>
      </c>
      <c r="S116" s="466" t="s">
        <v>625</v>
      </c>
      <c r="T116" s="524"/>
      <c r="W116" s="460"/>
      <c r="AY116" s="486">
        <f t="shared" si="3"/>
        <v>1566</v>
      </c>
      <c r="AZ116" s="487" t="str">
        <f t="shared" si="5"/>
        <v/>
      </c>
      <c r="CH116" s="459"/>
    </row>
    <row r="117" spans="1:90" s="461" customFormat="1" ht="12" customHeight="1" x14ac:dyDescent="0.15">
      <c r="A117" s="522" t="s">
        <v>2467</v>
      </c>
      <c r="B117" s="467">
        <v>42407</v>
      </c>
      <c r="C117" s="468" t="s">
        <v>3186</v>
      </c>
      <c r="D117" s="468" t="s">
        <v>5144</v>
      </c>
      <c r="E117" s="468" t="s">
        <v>4030</v>
      </c>
      <c r="F117" s="468" t="s">
        <v>525</v>
      </c>
      <c r="G117" s="466">
        <v>6</v>
      </c>
      <c r="H117" s="465">
        <v>8</v>
      </c>
      <c r="I117" s="466"/>
      <c r="J117" s="466"/>
      <c r="K117" s="466">
        <v>8</v>
      </c>
      <c r="L117" s="525">
        <v>20</v>
      </c>
      <c r="M117" s="463">
        <v>41000</v>
      </c>
      <c r="N117" s="468" t="s">
        <v>4032</v>
      </c>
      <c r="O117" s="466">
        <v>3</v>
      </c>
      <c r="P117" s="523">
        <v>-12.75</v>
      </c>
      <c r="Q117" s="462">
        <v>1.1980324074074074E-3</v>
      </c>
      <c r="R117" s="463">
        <v>4100</v>
      </c>
      <c r="S117" s="466"/>
      <c r="T117" s="524"/>
      <c r="W117" s="460"/>
      <c r="AY117" s="486" t="str">
        <f t="shared" si="3"/>
        <v/>
      </c>
      <c r="AZ117" s="487" t="str">
        <f t="shared" si="5"/>
        <v/>
      </c>
      <c r="CH117" s="459"/>
    </row>
    <row r="118" spans="1:90" s="461" customFormat="1" ht="12" customHeight="1" x14ac:dyDescent="0.15">
      <c r="A118" s="522" t="s">
        <v>2459</v>
      </c>
      <c r="B118" s="467">
        <v>42407</v>
      </c>
      <c r="C118" s="468" t="s">
        <v>3293</v>
      </c>
      <c r="D118" s="468" t="s">
        <v>3294</v>
      </c>
      <c r="E118" s="468" t="s">
        <v>4033</v>
      </c>
      <c r="F118" s="468" t="s">
        <v>788</v>
      </c>
      <c r="G118" s="466">
        <v>7</v>
      </c>
      <c r="H118" s="465">
        <v>8</v>
      </c>
      <c r="I118" s="466"/>
      <c r="J118" s="466"/>
      <c r="K118" s="466">
        <v>5</v>
      </c>
      <c r="L118" s="525">
        <v>12</v>
      </c>
      <c r="M118" s="463">
        <v>42000</v>
      </c>
      <c r="N118" s="468" t="s">
        <v>3672</v>
      </c>
      <c r="O118" s="466">
        <v>4</v>
      </c>
      <c r="P118" s="523">
        <v>-10.5</v>
      </c>
      <c r="Q118" s="462">
        <v>1.1472222222222222E-3</v>
      </c>
      <c r="R118" s="463">
        <v>2520</v>
      </c>
      <c r="S118" s="466"/>
      <c r="T118" s="524"/>
      <c r="W118" s="460"/>
      <c r="AY118" s="486" t="str">
        <f t="shared" si="3"/>
        <v/>
      </c>
      <c r="AZ118" s="487" t="str">
        <f t="shared" si="5"/>
        <v/>
      </c>
      <c r="CH118" s="459"/>
    </row>
    <row r="119" spans="1:90" s="461" customFormat="1" ht="12" customHeight="1" x14ac:dyDescent="0.15">
      <c r="A119" s="522" t="s">
        <v>3825</v>
      </c>
      <c r="B119" s="467">
        <v>42407</v>
      </c>
      <c r="C119" s="468" t="s">
        <v>3826</v>
      </c>
      <c r="D119" s="468" t="s">
        <v>3827</v>
      </c>
      <c r="E119" s="468" t="s">
        <v>3700</v>
      </c>
      <c r="F119" s="468" t="s">
        <v>3686</v>
      </c>
      <c r="G119" s="466">
        <v>8</v>
      </c>
      <c r="H119" s="465">
        <v>5.5</v>
      </c>
      <c r="I119" s="466"/>
      <c r="J119" s="466"/>
      <c r="K119" s="466">
        <v>10</v>
      </c>
      <c r="L119" s="464" t="s">
        <v>431</v>
      </c>
      <c r="M119" s="463">
        <v>9189</v>
      </c>
      <c r="N119" s="468" t="s">
        <v>3955</v>
      </c>
      <c r="O119" s="466">
        <v>2</v>
      </c>
      <c r="P119" s="523">
        <v>-0.75</v>
      </c>
      <c r="Q119" s="462">
        <v>7.6481481481481485E-4</v>
      </c>
      <c r="R119" s="463">
        <v>1922</v>
      </c>
      <c r="S119" s="466" t="s">
        <v>625</v>
      </c>
      <c r="T119" s="524"/>
      <c r="W119" s="460"/>
      <c r="AY119" s="486">
        <f t="shared" si="3"/>
        <v>1922</v>
      </c>
      <c r="AZ119" s="487" t="str">
        <f t="shared" si="5"/>
        <v/>
      </c>
      <c r="CH119" s="459"/>
    </row>
    <row r="120" spans="1:90" s="461" customFormat="1" ht="12" customHeight="1" x14ac:dyDescent="0.15">
      <c r="A120" s="522" t="s">
        <v>4011</v>
      </c>
      <c r="B120" s="467">
        <v>42407</v>
      </c>
      <c r="C120" s="468" t="s">
        <v>4018</v>
      </c>
      <c r="D120" s="468" t="s">
        <v>4017</v>
      </c>
      <c r="E120" s="468" t="s">
        <v>3699</v>
      </c>
      <c r="F120" s="468" t="s">
        <v>3686</v>
      </c>
      <c r="G120" s="466">
        <v>8</v>
      </c>
      <c r="H120" s="465">
        <v>5.5</v>
      </c>
      <c r="I120" s="466"/>
      <c r="J120" s="466"/>
      <c r="K120" s="466">
        <v>10</v>
      </c>
      <c r="L120" s="464" t="s">
        <v>431</v>
      </c>
      <c r="M120" s="463">
        <v>9189</v>
      </c>
      <c r="N120" s="468" t="s">
        <v>3955</v>
      </c>
      <c r="O120" s="466">
        <v>4</v>
      </c>
      <c r="P120" s="523">
        <v>-11</v>
      </c>
      <c r="Q120" s="462">
        <v>7.6481481481481485E-4</v>
      </c>
      <c r="R120" s="463">
        <v>549</v>
      </c>
      <c r="S120" s="466" t="s">
        <v>625</v>
      </c>
      <c r="T120" s="524"/>
      <c r="W120" s="460"/>
      <c r="AY120" s="486">
        <f t="shared" si="3"/>
        <v>549</v>
      </c>
      <c r="AZ120" s="487" t="str">
        <f t="shared" si="5"/>
        <v/>
      </c>
      <c r="CH120" s="459"/>
    </row>
    <row r="121" spans="1:90" s="461" customFormat="1" ht="12" customHeight="1" x14ac:dyDescent="0.15">
      <c r="A121" s="522" t="s">
        <v>3470</v>
      </c>
      <c r="B121" s="467">
        <v>42407</v>
      </c>
      <c r="C121" s="468" t="s">
        <v>3471</v>
      </c>
      <c r="D121" s="468" t="s">
        <v>3472</v>
      </c>
      <c r="E121" s="468" t="s">
        <v>3683</v>
      </c>
      <c r="F121" s="468" t="s">
        <v>3686</v>
      </c>
      <c r="G121" s="466">
        <v>9</v>
      </c>
      <c r="H121" s="465">
        <v>5.5</v>
      </c>
      <c r="I121" s="466"/>
      <c r="J121" s="466"/>
      <c r="K121" s="466">
        <v>14</v>
      </c>
      <c r="L121" s="464" t="s">
        <v>431</v>
      </c>
      <c r="M121" s="463">
        <v>6041</v>
      </c>
      <c r="N121" s="468" t="s">
        <v>3653</v>
      </c>
      <c r="O121" s="466">
        <v>8</v>
      </c>
      <c r="P121" s="523">
        <v>-9</v>
      </c>
      <c r="Q121" s="462">
        <v>7.6944444444444456E-4</v>
      </c>
      <c r="R121" s="463">
        <v>99</v>
      </c>
      <c r="S121" s="466" t="s">
        <v>625</v>
      </c>
      <c r="T121" s="524"/>
      <c r="W121" s="460"/>
      <c r="AY121" s="486">
        <f t="shared" si="3"/>
        <v>99</v>
      </c>
      <c r="AZ121" s="487" t="str">
        <f t="shared" si="5"/>
        <v/>
      </c>
      <c r="CH121" s="459"/>
    </row>
    <row r="122" spans="1:90" s="461" customFormat="1" ht="12" customHeight="1" x14ac:dyDescent="0.15">
      <c r="A122" s="522" t="s">
        <v>4012</v>
      </c>
      <c r="B122" s="467">
        <v>42407</v>
      </c>
      <c r="C122" s="468" t="s">
        <v>4019</v>
      </c>
      <c r="D122" s="468" t="s">
        <v>4020</v>
      </c>
      <c r="E122" s="468" t="s">
        <v>3700</v>
      </c>
      <c r="F122" s="468" t="s">
        <v>3686</v>
      </c>
      <c r="G122" s="466">
        <v>9</v>
      </c>
      <c r="H122" s="465">
        <v>5.5</v>
      </c>
      <c r="I122" s="466"/>
      <c r="J122" s="466"/>
      <c r="K122" s="466">
        <v>14</v>
      </c>
      <c r="L122" s="464" t="s">
        <v>431</v>
      </c>
      <c r="M122" s="463">
        <v>6041</v>
      </c>
      <c r="N122" s="468" t="s">
        <v>3653</v>
      </c>
      <c r="O122" s="466">
        <v>10</v>
      </c>
      <c r="P122" s="523">
        <v>-10</v>
      </c>
      <c r="Q122" s="462">
        <v>7.6944444444444456E-4</v>
      </c>
      <c r="R122" s="463">
        <v>99</v>
      </c>
      <c r="S122" s="466" t="s">
        <v>625</v>
      </c>
      <c r="T122" s="524"/>
      <c r="W122" s="460"/>
      <c r="AY122" s="486">
        <f t="shared" si="3"/>
        <v>99</v>
      </c>
      <c r="AZ122" s="487" t="str">
        <f t="shared" si="5"/>
        <v/>
      </c>
      <c r="CH122" s="459"/>
    </row>
    <row r="123" spans="1:90" s="461" customFormat="1" ht="12" customHeight="1" x14ac:dyDescent="0.15">
      <c r="A123" s="522" t="s">
        <v>1793</v>
      </c>
      <c r="B123" s="467">
        <v>42410</v>
      </c>
      <c r="C123" s="468" t="s">
        <v>3895</v>
      </c>
      <c r="D123" s="468" t="s">
        <v>3892</v>
      </c>
      <c r="E123" s="468" t="s">
        <v>3893</v>
      </c>
      <c r="F123" s="468" t="s">
        <v>540</v>
      </c>
      <c r="G123" s="466">
        <v>9</v>
      </c>
      <c r="H123" s="465">
        <v>7.5</v>
      </c>
      <c r="I123" s="466" t="s">
        <v>3730</v>
      </c>
      <c r="J123" s="466"/>
      <c r="K123" s="466">
        <v>14</v>
      </c>
      <c r="L123" s="506">
        <v>3.5</v>
      </c>
      <c r="M123" s="463">
        <v>23000</v>
      </c>
      <c r="N123" s="468" t="s">
        <v>3890</v>
      </c>
      <c r="O123" s="466">
        <v>2</v>
      </c>
      <c r="P123" s="523">
        <v>-2.25</v>
      </c>
      <c r="Q123" s="462">
        <v>1.0575231481481481E-3</v>
      </c>
      <c r="R123" s="463">
        <v>3800</v>
      </c>
      <c r="S123" s="466"/>
      <c r="T123" s="524" t="s">
        <v>4085</v>
      </c>
      <c r="W123" s="460"/>
      <c r="AY123" s="486" t="str">
        <f t="shared" si="3"/>
        <v/>
      </c>
      <c r="AZ123" s="487" t="str">
        <f t="shared" si="5"/>
        <v/>
      </c>
      <c r="CH123" s="459"/>
    </row>
    <row r="124" spans="1:90" s="469" customFormat="1" ht="12" customHeight="1" x14ac:dyDescent="0.15">
      <c r="A124" s="444" t="s">
        <v>2401</v>
      </c>
      <c r="B124" s="445">
        <v>42411</v>
      </c>
      <c r="C124" s="446" t="s">
        <v>3704</v>
      </c>
      <c r="D124" s="446" t="s">
        <v>3705</v>
      </c>
      <c r="E124" s="446" t="s">
        <v>1623</v>
      </c>
      <c r="F124" s="446" t="s">
        <v>439</v>
      </c>
      <c r="G124" s="447">
        <v>8</v>
      </c>
      <c r="H124" s="448">
        <v>8.5</v>
      </c>
      <c r="I124" s="447"/>
      <c r="J124" s="447"/>
      <c r="K124" s="447">
        <v>11</v>
      </c>
      <c r="L124" s="449">
        <f>9/2</f>
        <v>4.5</v>
      </c>
      <c r="M124" s="450">
        <v>71000</v>
      </c>
      <c r="N124" s="446" t="s">
        <v>4037</v>
      </c>
      <c r="O124" s="447">
        <v>1</v>
      </c>
      <c r="P124" s="451">
        <v>2.25</v>
      </c>
      <c r="Q124" s="452">
        <v>1.2244212962962964E-3</v>
      </c>
      <c r="R124" s="450">
        <v>42600</v>
      </c>
      <c r="S124" s="447"/>
      <c r="T124" s="453" t="s">
        <v>4056</v>
      </c>
      <c r="U124" s="454"/>
      <c r="V124" s="454"/>
      <c r="W124" s="455"/>
      <c r="X124" s="454"/>
      <c r="Y124" s="454"/>
      <c r="Z124" s="454"/>
      <c r="AA124" s="454"/>
      <c r="AB124" s="454"/>
      <c r="AC124" s="454"/>
      <c r="AD124" s="454"/>
      <c r="AE124" s="454"/>
      <c r="AF124" s="454"/>
      <c r="AG124" s="454"/>
      <c r="AH124" s="454"/>
      <c r="AI124" s="454"/>
      <c r="AJ124" s="454"/>
      <c r="AK124" s="454"/>
      <c r="AL124" s="454"/>
      <c r="AM124" s="454"/>
      <c r="AN124" s="454"/>
      <c r="AO124" s="454"/>
      <c r="AP124" s="454"/>
      <c r="AQ124" s="454"/>
      <c r="AR124" s="454"/>
      <c r="AS124" s="454"/>
      <c r="AT124" s="454"/>
      <c r="AU124" s="454"/>
      <c r="AV124" s="454"/>
      <c r="AW124" s="454"/>
      <c r="AX124" s="454"/>
      <c r="AY124" s="486" t="str">
        <f t="shared" si="3"/>
        <v/>
      </c>
      <c r="AZ124" s="487">
        <f t="shared" si="5"/>
        <v>1</v>
      </c>
      <c r="BA124" s="454"/>
      <c r="BB124" s="454"/>
      <c r="BC124" s="454"/>
      <c r="BD124" s="454"/>
      <c r="BE124" s="454"/>
      <c r="BF124" s="454"/>
      <c r="BG124" s="454"/>
      <c r="BH124" s="454"/>
      <c r="BI124" s="454"/>
      <c r="BJ124" s="454"/>
      <c r="BK124" s="454"/>
      <c r="BL124" s="454"/>
      <c r="BM124" s="454"/>
      <c r="BN124" s="454"/>
      <c r="BO124" s="454"/>
      <c r="BP124" s="454"/>
      <c r="BQ124" s="454"/>
      <c r="BR124" s="454"/>
      <c r="BS124" s="454"/>
      <c r="BT124" s="454"/>
      <c r="BU124" s="454"/>
      <c r="BV124" s="454"/>
      <c r="BW124" s="454"/>
      <c r="BX124" s="454"/>
      <c r="BY124" s="454"/>
      <c r="BZ124" s="454"/>
      <c r="CA124" s="454"/>
      <c r="CB124" s="454"/>
      <c r="CC124" s="454"/>
      <c r="CD124" s="454"/>
      <c r="CE124" s="454"/>
      <c r="CF124" s="454"/>
      <c r="CG124" s="454"/>
      <c r="CH124" s="456"/>
      <c r="CI124" s="454"/>
      <c r="CJ124" s="454"/>
      <c r="CK124" s="454"/>
      <c r="CL124" s="454"/>
    </row>
    <row r="125" spans="1:90" s="469" customFormat="1" ht="12" customHeight="1" x14ac:dyDescent="0.15">
      <c r="A125" s="444" t="s">
        <v>2170</v>
      </c>
      <c r="B125" s="445">
        <v>42412</v>
      </c>
      <c r="C125" s="446" t="s">
        <v>3908</v>
      </c>
      <c r="D125" s="446" t="s">
        <v>3909</v>
      </c>
      <c r="E125" s="446" t="s">
        <v>3189</v>
      </c>
      <c r="F125" s="446" t="s">
        <v>2376</v>
      </c>
      <c r="G125" s="447">
        <v>4</v>
      </c>
      <c r="H125" s="448">
        <v>6</v>
      </c>
      <c r="I125" s="447"/>
      <c r="J125" s="447"/>
      <c r="K125" s="447">
        <v>7</v>
      </c>
      <c r="L125" s="449">
        <f>5/2</f>
        <v>2.5</v>
      </c>
      <c r="M125" s="450">
        <v>29500</v>
      </c>
      <c r="N125" s="446" t="s">
        <v>3739</v>
      </c>
      <c r="O125" s="447">
        <v>1</v>
      </c>
      <c r="P125" s="451">
        <v>1.75</v>
      </c>
      <c r="Q125" s="452">
        <v>8.1493055555555561E-4</v>
      </c>
      <c r="R125" s="450">
        <v>21240</v>
      </c>
      <c r="S125" s="447"/>
      <c r="T125" s="453" t="s">
        <v>4104</v>
      </c>
      <c r="U125" s="454"/>
      <c r="V125" s="454"/>
      <c r="W125" s="455"/>
      <c r="X125" s="454"/>
      <c r="Y125" s="454"/>
      <c r="Z125" s="454"/>
      <c r="AA125" s="454"/>
      <c r="AB125" s="454"/>
      <c r="AC125" s="454"/>
      <c r="AD125" s="454"/>
      <c r="AE125" s="454"/>
      <c r="AF125" s="454"/>
      <c r="AG125" s="454"/>
      <c r="AH125" s="454"/>
      <c r="AI125" s="454"/>
      <c r="AJ125" s="454"/>
      <c r="AK125" s="454"/>
      <c r="AL125" s="454"/>
      <c r="AM125" s="454"/>
      <c r="AN125" s="454"/>
      <c r="AO125" s="454"/>
      <c r="AP125" s="454"/>
      <c r="AQ125" s="454"/>
      <c r="AR125" s="454"/>
      <c r="AS125" s="454"/>
      <c r="AT125" s="454"/>
      <c r="AU125" s="454"/>
      <c r="AV125" s="454"/>
      <c r="AW125" s="454"/>
      <c r="AX125" s="454"/>
      <c r="AY125" s="486" t="str">
        <f t="shared" si="3"/>
        <v/>
      </c>
      <c r="AZ125" s="487">
        <f t="shared" si="5"/>
        <v>1</v>
      </c>
      <c r="BA125" s="454"/>
      <c r="BB125" s="454"/>
      <c r="BC125" s="454"/>
      <c r="BD125" s="454"/>
      <c r="BE125" s="454"/>
      <c r="BF125" s="454"/>
      <c r="BG125" s="454"/>
      <c r="BH125" s="454"/>
      <c r="BI125" s="454"/>
      <c r="BJ125" s="454"/>
      <c r="BK125" s="454"/>
      <c r="BL125" s="454"/>
      <c r="BM125" s="454"/>
      <c r="BN125" s="454"/>
      <c r="BO125" s="454"/>
      <c r="BP125" s="454"/>
      <c r="BQ125" s="454"/>
      <c r="BR125" s="454"/>
      <c r="BS125" s="454"/>
      <c r="BT125" s="454"/>
      <c r="BU125" s="454"/>
      <c r="BV125" s="454"/>
      <c r="BW125" s="454"/>
      <c r="BX125" s="454"/>
      <c r="BY125" s="454"/>
      <c r="BZ125" s="454"/>
      <c r="CA125" s="454"/>
      <c r="CB125" s="454"/>
      <c r="CC125" s="454"/>
      <c r="CD125" s="454"/>
      <c r="CE125" s="454"/>
      <c r="CF125" s="454"/>
      <c r="CG125" s="454"/>
      <c r="CH125" s="456"/>
      <c r="CI125" s="454"/>
      <c r="CJ125" s="454"/>
      <c r="CK125" s="454"/>
      <c r="CL125" s="454"/>
    </row>
    <row r="126" spans="1:90" s="461" customFormat="1" ht="12" customHeight="1" x14ac:dyDescent="0.15">
      <c r="A126" s="522" t="s">
        <v>2127</v>
      </c>
      <c r="B126" s="467">
        <v>42412</v>
      </c>
      <c r="C126" s="468" t="s">
        <v>1838</v>
      </c>
      <c r="D126" s="468" t="s">
        <v>3842</v>
      </c>
      <c r="E126" s="468" t="s">
        <v>3843</v>
      </c>
      <c r="F126" s="468" t="s">
        <v>993</v>
      </c>
      <c r="G126" s="466">
        <v>8</v>
      </c>
      <c r="H126" s="465">
        <v>6.5</v>
      </c>
      <c r="I126" s="466"/>
      <c r="J126" s="466"/>
      <c r="K126" s="466">
        <v>5</v>
      </c>
      <c r="L126" s="506">
        <v>4</v>
      </c>
      <c r="M126" s="463">
        <v>10000</v>
      </c>
      <c r="N126" s="468" t="s">
        <v>4078</v>
      </c>
      <c r="O126" s="466">
        <v>2</v>
      </c>
      <c r="P126" s="523">
        <v>-1.5</v>
      </c>
      <c r="Q126" s="462">
        <v>9.5428240740740727E-4</v>
      </c>
      <c r="R126" s="463">
        <v>2000</v>
      </c>
      <c r="S126" s="466"/>
      <c r="T126" s="524" t="s">
        <v>4103</v>
      </c>
      <c r="W126" s="460"/>
      <c r="AY126" s="486" t="str">
        <f t="shared" si="3"/>
        <v/>
      </c>
      <c r="AZ126" s="487" t="str">
        <f t="shared" si="5"/>
        <v/>
      </c>
      <c r="CH126" s="459"/>
    </row>
    <row r="127" spans="1:90" s="461" customFormat="1" ht="12" customHeight="1" x14ac:dyDescent="0.15">
      <c r="A127" s="522" t="s">
        <v>3362</v>
      </c>
      <c r="B127" s="467">
        <v>42413</v>
      </c>
      <c r="C127" s="468" t="s">
        <v>2521</v>
      </c>
      <c r="D127" s="468" t="s">
        <v>3098</v>
      </c>
      <c r="E127" s="468" t="s">
        <v>4082</v>
      </c>
      <c r="F127" s="468" t="s">
        <v>3644</v>
      </c>
      <c r="G127" s="466">
        <v>8</v>
      </c>
      <c r="H127" s="465">
        <v>10</v>
      </c>
      <c r="I127" s="466"/>
      <c r="J127" s="466"/>
      <c r="K127" s="466">
        <v>15</v>
      </c>
      <c r="L127" s="464" t="s">
        <v>431</v>
      </c>
      <c r="M127" s="463">
        <v>32000</v>
      </c>
      <c r="N127" s="468" t="s">
        <v>4075</v>
      </c>
      <c r="O127" s="466">
        <v>7</v>
      </c>
      <c r="P127" s="523">
        <v>-10</v>
      </c>
      <c r="Q127" s="462">
        <v>1.4380787037037036E-3</v>
      </c>
      <c r="R127" s="463">
        <v>0</v>
      </c>
      <c r="S127" s="466" t="s">
        <v>625</v>
      </c>
      <c r="T127" s="524"/>
      <c r="W127" s="460"/>
      <c r="AY127" s="486">
        <f t="shared" si="3"/>
        <v>0</v>
      </c>
      <c r="AZ127" s="487" t="str">
        <f t="shared" si="5"/>
        <v/>
      </c>
      <c r="CH127" s="459"/>
    </row>
    <row r="128" spans="1:90" s="461" customFormat="1" ht="12" customHeight="1" x14ac:dyDescent="0.15">
      <c r="A128" s="522" t="s">
        <v>367</v>
      </c>
      <c r="B128" s="467">
        <v>42413</v>
      </c>
      <c r="C128" s="468" t="s">
        <v>3187</v>
      </c>
      <c r="D128" s="468" t="s">
        <v>3278</v>
      </c>
      <c r="E128" s="468" t="s">
        <v>3965</v>
      </c>
      <c r="F128" s="468" t="s">
        <v>788</v>
      </c>
      <c r="G128" s="466">
        <v>3</v>
      </c>
      <c r="H128" s="465">
        <v>8</v>
      </c>
      <c r="I128" s="466"/>
      <c r="J128" s="466"/>
      <c r="K128" s="466">
        <v>7</v>
      </c>
      <c r="L128" s="506">
        <v>6</v>
      </c>
      <c r="M128" s="463">
        <v>19000</v>
      </c>
      <c r="N128" s="468" t="s">
        <v>3889</v>
      </c>
      <c r="O128" s="466">
        <v>4</v>
      </c>
      <c r="P128" s="523">
        <v>-8.25</v>
      </c>
      <c r="Q128" s="462">
        <v>1.1686342592592592E-3</v>
      </c>
      <c r="R128" s="463">
        <v>1140</v>
      </c>
      <c r="S128" s="466"/>
      <c r="T128" s="524"/>
      <c r="W128" s="460"/>
      <c r="AY128" s="486" t="str">
        <f t="shared" si="3"/>
        <v/>
      </c>
      <c r="AZ128" s="487" t="str">
        <f t="shared" si="5"/>
        <v/>
      </c>
      <c r="CH128" s="459"/>
    </row>
    <row r="129" spans="1:90" s="469" customFormat="1" ht="12" customHeight="1" x14ac:dyDescent="0.15">
      <c r="A129" s="444" t="s">
        <v>3944</v>
      </c>
      <c r="B129" s="445">
        <v>42413</v>
      </c>
      <c r="C129" s="446" t="s">
        <v>3949</v>
      </c>
      <c r="D129" s="446" t="s">
        <v>3945</v>
      </c>
      <c r="E129" s="446" t="s">
        <v>3683</v>
      </c>
      <c r="F129" s="446" t="s">
        <v>3685</v>
      </c>
      <c r="G129" s="447">
        <v>4</v>
      </c>
      <c r="H129" s="448">
        <v>7.5</v>
      </c>
      <c r="I129" s="447"/>
      <c r="J129" s="447" t="s">
        <v>960</v>
      </c>
      <c r="K129" s="447">
        <v>8</v>
      </c>
      <c r="L129" s="448" t="s">
        <v>431</v>
      </c>
      <c r="M129" s="450">
        <v>3822</v>
      </c>
      <c r="N129" s="446" t="s">
        <v>3348</v>
      </c>
      <c r="O129" s="447">
        <v>1</v>
      </c>
      <c r="P129" s="451">
        <v>5.5</v>
      </c>
      <c r="Q129" s="452">
        <v>1.0854166666666668E-3</v>
      </c>
      <c r="R129" s="450">
        <v>2263</v>
      </c>
      <c r="S129" s="447" t="s">
        <v>625</v>
      </c>
      <c r="T129" s="453"/>
      <c r="U129" s="454"/>
      <c r="V129" s="454"/>
      <c r="W129" s="455"/>
      <c r="X129" s="454"/>
      <c r="Y129" s="454"/>
      <c r="Z129" s="454"/>
      <c r="AA129" s="454"/>
      <c r="AB129" s="454"/>
      <c r="AC129" s="454"/>
      <c r="AD129" s="454"/>
      <c r="AE129" s="454"/>
      <c r="AF129" s="454"/>
      <c r="AG129" s="454"/>
      <c r="AH129" s="454"/>
      <c r="AI129" s="454"/>
      <c r="AJ129" s="454"/>
      <c r="AK129" s="454"/>
      <c r="AL129" s="454"/>
      <c r="AM129" s="454"/>
      <c r="AN129" s="454"/>
      <c r="AO129" s="454"/>
      <c r="AP129" s="454"/>
      <c r="AQ129" s="454"/>
      <c r="AR129" s="454"/>
      <c r="AS129" s="454"/>
      <c r="AT129" s="454"/>
      <c r="AU129" s="454"/>
      <c r="AV129" s="454"/>
      <c r="AW129" s="454"/>
      <c r="AX129" s="454"/>
      <c r="AY129" s="486">
        <f t="shared" si="3"/>
        <v>2263</v>
      </c>
      <c r="AZ129" s="487">
        <f t="shared" si="5"/>
        <v>1</v>
      </c>
      <c r="BA129" s="454"/>
      <c r="BB129" s="454"/>
      <c r="BC129" s="454"/>
      <c r="BD129" s="454"/>
      <c r="BE129" s="454"/>
      <c r="BF129" s="454"/>
      <c r="BG129" s="454"/>
      <c r="BH129" s="454"/>
      <c r="BI129" s="454"/>
      <c r="BJ129" s="454"/>
      <c r="BK129" s="454"/>
      <c r="BL129" s="454"/>
      <c r="BM129" s="454"/>
      <c r="BN129" s="454"/>
      <c r="BO129" s="454"/>
      <c r="BP129" s="454"/>
      <c r="BQ129" s="454"/>
      <c r="BR129" s="454"/>
      <c r="BS129" s="454"/>
      <c r="BT129" s="454"/>
      <c r="BU129" s="454"/>
      <c r="BV129" s="454"/>
      <c r="BW129" s="454"/>
      <c r="BX129" s="454"/>
      <c r="BY129" s="454"/>
      <c r="BZ129" s="454"/>
      <c r="CA129" s="454"/>
      <c r="CB129" s="454"/>
      <c r="CC129" s="454"/>
      <c r="CD129" s="454"/>
      <c r="CE129" s="454"/>
      <c r="CF129" s="454"/>
      <c r="CG129" s="454"/>
      <c r="CH129" s="456"/>
      <c r="CI129" s="454"/>
      <c r="CJ129" s="454"/>
      <c r="CK129" s="454"/>
      <c r="CL129" s="454"/>
    </row>
    <row r="130" spans="1:90" s="461" customFormat="1" ht="12" customHeight="1" x14ac:dyDescent="0.15">
      <c r="A130" s="522" t="s">
        <v>3426</v>
      </c>
      <c r="B130" s="467">
        <v>42413</v>
      </c>
      <c r="C130" s="468" t="s">
        <v>3655</v>
      </c>
      <c r="D130" s="468" t="s">
        <v>3298</v>
      </c>
      <c r="E130" s="468" t="s">
        <v>3699</v>
      </c>
      <c r="F130" s="468" t="s">
        <v>3685</v>
      </c>
      <c r="G130" s="466">
        <v>4</v>
      </c>
      <c r="H130" s="465">
        <v>7.5</v>
      </c>
      <c r="I130" s="466"/>
      <c r="J130" s="466" t="s">
        <v>960</v>
      </c>
      <c r="K130" s="466">
        <v>8</v>
      </c>
      <c r="L130" s="464" t="s">
        <v>431</v>
      </c>
      <c r="M130" s="463">
        <v>3822</v>
      </c>
      <c r="N130" s="468" t="s">
        <v>3348</v>
      </c>
      <c r="O130" s="466">
        <v>5</v>
      </c>
      <c r="P130" s="523">
        <v>-15.25</v>
      </c>
      <c r="Q130" s="462">
        <v>1.0854166666666668E-3</v>
      </c>
      <c r="R130" s="463">
        <v>65</v>
      </c>
      <c r="S130" s="466" t="s">
        <v>625</v>
      </c>
      <c r="T130" s="524"/>
      <c r="W130" s="460"/>
      <c r="AY130" s="486">
        <f t="shared" si="3"/>
        <v>65</v>
      </c>
      <c r="AZ130" s="487" t="str">
        <f t="shared" si="5"/>
        <v/>
      </c>
      <c r="CH130" s="459"/>
    </row>
    <row r="131" spans="1:90" s="469" customFormat="1" ht="12" customHeight="1" x14ac:dyDescent="0.15">
      <c r="A131" s="471" t="s">
        <v>4205</v>
      </c>
      <c r="B131" s="472">
        <v>42413</v>
      </c>
      <c r="C131" s="471" t="s">
        <v>2744</v>
      </c>
      <c r="D131" s="471" t="s">
        <v>3832</v>
      </c>
      <c r="E131" s="471" t="s">
        <v>1310</v>
      </c>
      <c r="F131" s="471" t="s">
        <v>3685</v>
      </c>
      <c r="G131" s="473">
        <v>4</v>
      </c>
      <c r="H131" s="474">
        <v>7.5</v>
      </c>
      <c r="I131" s="475"/>
      <c r="J131" s="475"/>
      <c r="K131" s="473">
        <v>9</v>
      </c>
      <c r="L131" s="485" t="s">
        <v>431</v>
      </c>
      <c r="M131" s="476">
        <v>3822</v>
      </c>
      <c r="N131" s="471" t="s">
        <v>3348</v>
      </c>
      <c r="O131" s="477" t="s">
        <v>431</v>
      </c>
      <c r="P131" s="478" t="s">
        <v>431</v>
      </c>
      <c r="Q131" s="479" t="s">
        <v>431</v>
      </c>
      <c r="R131" s="480" t="s">
        <v>431</v>
      </c>
      <c r="S131" s="477" t="s">
        <v>625</v>
      </c>
      <c r="T131" s="481" t="s">
        <v>3885</v>
      </c>
      <c r="U131" s="482"/>
      <c r="V131" s="482"/>
      <c r="W131" s="483"/>
      <c r="X131" s="482"/>
      <c r="Y131" s="482"/>
      <c r="Z131" s="482"/>
      <c r="AA131" s="482"/>
      <c r="AB131" s="482"/>
      <c r="AC131" s="482"/>
      <c r="AD131" s="482"/>
      <c r="AE131" s="482"/>
      <c r="AF131" s="482"/>
      <c r="AG131" s="482"/>
      <c r="AH131" s="482"/>
      <c r="AI131" s="482"/>
      <c r="AJ131" s="482"/>
      <c r="AK131" s="482"/>
      <c r="AL131" s="482"/>
      <c r="AM131" s="482"/>
      <c r="AN131" s="482"/>
      <c r="AO131" s="482"/>
      <c r="AP131" s="482"/>
      <c r="AQ131" s="482"/>
      <c r="AR131" s="482"/>
      <c r="AS131" s="482"/>
      <c r="AT131" s="482"/>
      <c r="AU131" s="482"/>
      <c r="AV131" s="482"/>
      <c r="AW131" s="482"/>
      <c r="AX131" s="482"/>
      <c r="AY131" s="486" t="str">
        <f t="shared" si="3"/>
        <v>--</v>
      </c>
      <c r="AZ131" s="487" t="str">
        <f t="shared" si="5"/>
        <v/>
      </c>
      <c r="BA131" s="482"/>
      <c r="BB131" s="482"/>
      <c r="BC131" s="482"/>
      <c r="BD131" s="482"/>
      <c r="BE131" s="482"/>
      <c r="BF131" s="482"/>
      <c r="BG131" s="482"/>
      <c r="BH131" s="482"/>
      <c r="BI131" s="482"/>
      <c r="BJ131" s="482"/>
      <c r="BK131" s="482"/>
      <c r="BL131" s="482"/>
      <c r="BM131" s="482"/>
      <c r="BN131" s="482"/>
      <c r="BO131" s="482"/>
      <c r="BP131" s="482"/>
      <c r="BQ131" s="482"/>
      <c r="BR131" s="482"/>
      <c r="BS131" s="482"/>
      <c r="BT131" s="482"/>
      <c r="BU131" s="482"/>
      <c r="BV131" s="482"/>
      <c r="BW131" s="482"/>
      <c r="BX131" s="482"/>
      <c r="BY131" s="482"/>
      <c r="BZ131" s="482"/>
      <c r="CA131" s="482"/>
      <c r="CB131" s="482"/>
      <c r="CC131" s="482"/>
      <c r="CD131" s="482"/>
      <c r="CE131" s="482"/>
      <c r="CF131" s="482"/>
      <c r="CG131" s="482"/>
      <c r="CH131" s="484"/>
    </row>
    <row r="132" spans="1:90" s="461" customFormat="1" ht="12" customHeight="1" x14ac:dyDescent="0.15">
      <c r="A132" s="522" t="s">
        <v>4062</v>
      </c>
      <c r="B132" s="467">
        <v>42413</v>
      </c>
      <c r="C132" s="468" t="s">
        <v>2744</v>
      </c>
      <c r="D132" s="468" t="s">
        <v>3298</v>
      </c>
      <c r="E132" s="468" t="s">
        <v>3699</v>
      </c>
      <c r="F132" s="468" t="s">
        <v>3685</v>
      </c>
      <c r="G132" s="466">
        <v>7</v>
      </c>
      <c r="H132" s="465">
        <v>5.5</v>
      </c>
      <c r="I132" s="466"/>
      <c r="J132" s="466" t="s">
        <v>960</v>
      </c>
      <c r="K132" s="466">
        <v>9</v>
      </c>
      <c r="L132" s="464" t="s">
        <v>431</v>
      </c>
      <c r="M132" s="463">
        <v>3424</v>
      </c>
      <c r="N132" s="468" t="s">
        <v>3348</v>
      </c>
      <c r="O132" s="466">
        <v>2</v>
      </c>
      <c r="P132" s="555" t="s">
        <v>4111</v>
      </c>
      <c r="Q132" s="462">
        <v>7.8819444444444455E-4</v>
      </c>
      <c r="R132" s="463">
        <v>710</v>
      </c>
      <c r="S132" s="466" t="s">
        <v>625</v>
      </c>
      <c r="T132" s="524"/>
      <c r="W132" s="460"/>
      <c r="AY132" s="486">
        <f t="shared" si="3"/>
        <v>710</v>
      </c>
      <c r="AZ132" s="487" t="str">
        <f t="shared" si="5"/>
        <v/>
      </c>
      <c r="CH132" s="459"/>
    </row>
    <row r="133" spans="1:90" s="469" customFormat="1" ht="12" customHeight="1" x14ac:dyDescent="0.15">
      <c r="A133" s="471" t="s">
        <v>4204</v>
      </c>
      <c r="B133" s="472">
        <v>42413</v>
      </c>
      <c r="C133" s="471" t="s">
        <v>4067</v>
      </c>
      <c r="D133" s="471" t="s">
        <v>4068</v>
      </c>
      <c r="E133" s="471" t="s">
        <v>4069</v>
      </c>
      <c r="F133" s="471" t="s">
        <v>4070</v>
      </c>
      <c r="G133" s="473">
        <v>7</v>
      </c>
      <c r="H133" s="474">
        <v>6</v>
      </c>
      <c r="I133" s="475"/>
      <c r="J133" s="475"/>
      <c r="K133" s="473">
        <v>10</v>
      </c>
      <c r="L133" s="485" t="s">
        <v>431</v>
      </c>
      <c r="M133" s="476">
        <v>1148</v>
      </c>
      <c r="N133" s="471" t="s">
        <v>3348</v>
      </c>
      <c r="O133" s="477" t="s">
        <v>431</v>
      </c>
      <c r="P133" s="478" t="s">
        <v>431</v>
      </c>
      <c r="Q133" s="479" t="s">
        <v>431</v>
      </c>
      <c r="R133" s="480" t="s">
        <v>431</v>
      </c>
      <c r="S133" s="477" t="s">
        <v>625</v>
      </c>
      <c r="T133" s="481" t="s">
        <v>4108</v>
      </c>
      <c r="U133" s="482"/>
      <c r="V133" s="482"/>
      <c r="W133" s="483"/>
      <c r="X133" s="482"/>
      <c r="Y133" s="482"/>
      <c r="Z133" s="482"/>
      <c r="AA133" s="482"/>
      <c r="AB133" s="482"/>
      <c r="AC133" s="482"/>
      <c r="AD133" s="482"/>
      <c r="AE133" s="482"/>
      <c r="AF133" s="482"/>
      <c r="AG133" s="482"/>
      <c r="AH133" s="482"/>
      <c r="AI133" s="482"/>
      <c r="AJ133" s="482"/>
      <c r="AK133" s="482"/>
      <c r="AL133" s="482"/>
      <c r="AM133" s="482"/>
      <c r="AN133" s="482"/>
      <c r="AO133" s="482"/>
      <c r="AP133" s="482"/>
      <c r="AQ133" s="482"/>
      <c r="AR133" s="482"/>
      <c r="AS133" s="482"/>
      <c r="AT133" s="482"/>
      <c r="AU133" s="482"/>
      <c r="AV133" s="482"/>
      <c r="AW133" s="482"/>
      <c r="AX133" s="482"/>
      <c r="AY133" s="486" t="str">
        <f t="shared" si="3"/>
        <v>--</v>
      </c>
      <c r="AZ133" s="487" t="str">
        <f t="shared" si="5"/>
        <v/>
      </c>
      <c r="BA133" s="482"/>
      <c r="BB133" s="482"/>
      <c r="BC133" s="482"/>
      <c r="BD133" s="482"/>
      <c r="BE133" s="482"/>
      <c r="BF133" s="482"/>
      <c r="BG133" s="482"/>
      <c r="BH133" s="482"/>
      <c r="BI133" s="482"/>
      <c r="BJ133" s="482"/>
      <c r="BK133" s="482"/>
      <c r="BL133" s="482"/>
      <c r="BM133" s="482"/>
      <c r="BN133" s="482"/>
      <c r="BO133" s="482"/>
      <c r="BP133" s="482"/>
      <c r="BQ133" s="482"/>
      <c r="BR133" s="482"/>
      <c r="BS133" s="482"/>
      <c r="BT133" s="482"/>
      <c r="BU133" s="482"/>
      <c r="BV133" s="482"/>
      <c r="BW133" s="482"/>
      <c r="BX133" s="482"/>
      <c r="BY133" s="482"/>
      <c r="BZ133" s="482"/>
      <c r="CA133" s="482"/>
      <c r="CB133" s="482"/>
      <c r="CC133" s="482"/>
      <c r="CD133" s="482"/>
      <c r="CE133" s="482"/>
      <c r="CF133" s="482"/>
      <c r="CG133" s="482"/>
      <c r="CH133" s="484"/>
    </row>
    <row r="134" spans="1:90" s="469" customFormat="1" ht="12" customHeight="1" x14ac:dyDescent="0.15">
      <c r="A134" s="444" t="s">
        <v>3931</v>
      </c>
      <c r="B134" s="445">
        <v>42413</v>
      </c>
      <c r="C134" s="446" t="s">
        <v>3954</v>
      </c>
      <c r="D134" s="446" t="s">
        <v>3946</v>
      </c>
      <c r="E134" s="446" t="s">
        <v>3961</v>
      </c>
      <c r="F134" s="446" t="s">
        <v>3685</v>
      </c>
      <c r="G134" s="447">
        <v>9</v>
      </c>
      <c r="H134" s="448">
        <v>5.5</v>
      </c>
      <c r="I134" s="447"/>
      <c r="J134" s="447" t="s">
        <v>960</v>
      </c>
      <c r="K134" s="447">
        <v>9</v>
      </c>
      <c r="L134" s="448" t="s">
        <v>431</v>
      </c>
      <c r="M134" s="450">
        <v>3424</v>
      </c>
      <c r="N134" s="446" t="s">
        <v>3348</v>
      </c>
      <c r="O134" s="447">
        <v>1</v>
      </c>
      <c r="P134" s="451">
        <v>3.5</v>
      </c>
      <c r="Q134" s="452">
        <v>7.83449074074074E-4</v>
      </c>
      <c r="R134" s="450">
        <v>2017</v>
      </c>
      <c r="S134" s="447" t="s">
        <v>625</v>
      </c>
      <c r="T134" s="453"/>
      <c r="U134" s="454"/>
      <c r="V134" s="454"/>
      <c r="W134" s="455"/>
      <c r="X134" s="454"/>
      <c r="Y134" s="454"/>
      <c r="Z134" s="454"/>
      <c r="AA134" s="454"/>
      <c r="AB134" s="454"/>
      <c r="AC134" s="454"/>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4"/>
      <c r="AY134" s="486">
        <f t="shared" ref="AY134:AY197" si="6">IF(S134="","",R134)</f>
        <v>2017</v>
      </c>
      <c r="AZ134" s="487">
        <f t="shared" ref="AZ134:AZ165" si="7">IF(F134="Pleasant Meadows","",IF(L134="","",IF(O134="--","",IF(O134=1,1,""))))</f>
        <v>1</v>
      </c>
      <c r="BA134" s="454"/>
      <c r="BB134" s="454"/>
      <c r="BC134" s="454"/>
      <c r="BD134" s="454"/>
      <c r="BE134" s="454"/>
      <c r="BF134" s="454"/>
      <c r="BG134" s="454"/>
      <c r="BH134" s="454"/>
      <c r="BI134" s="454"/>
      <c r="BJ134" s="454"/>
      <c r="BK134" s="454"/>
      <c r="BL134" s="454"/>
      <c r="BM134" s="454"/>
      <c r="BN134" s="454"/>
      <c r="BO134" s="454"/>
      <c r="BP134" s="454"/>
      <c r="BQ134" s="454"/>
      <c r="BR134" s="454"/>
      <c r="BS134" s="454"/>
      <c r="BT134" s="454"/>
      <c r="BU134" s="454"/>
      <c r="BV134" s="454"/>
      <c r="BW134" s="454"/>
      <c r="BX134" s="454"/>
      <c r="BY134" s="454"/>
      <c r="BZ134" s="454"/>
      <c r="CA134" s="454"/>
      <c r="CB134" s="454"/>
      <c r="CC134" s="454"/>
      <c r="CD134" s="454"/>
      <c r="CE134" s="454"/>
      <c r="CF134" s="454"/>
      <c r="CG134" s="454"/>
      <c r="CH134" s="456"/>
      <c r="CI134" s="454"/>
      <c r="CJ134" s="454"/>
      <c r="CK134" s="454"/>
      <c r="CL134" s="454"/>
    </row>
    <row r="135" spans="1:90" s="469" customFormat="1" ht="12" customHeight="1" x14ac:dyDescent="0.15">
      <c r="A135" s="471" t="s">
        <v>21</v>
      </c>
      <c r="B135" s="472">
        <v>42413</v>
      </c>
      <c r="C135" s="471" t="s">
        <v>3334</v>
      </c>
      <c r="D135" s="471" t="s">
        <v>3335</v>
      </c>
      <c r="E135" s="471" t="s">
        <v>4036</v>
      </c>
      <c r="F135" s="471" t="s">
        <v>595</v>
      </c>
      <c r="G135" s="473">
        <v>9</v>
      </c>
      <c r="H135" s="474">
        <v>8</v>
      </c>
      <c r="I135" s="475" t="s">
        <v>3730</v>
      </c>
      <c r="J135" s="475"/>
      <c r="K135" s="473">
        <v>14</v>
      </c>
      <c r="L135" s="458">
        <f>9/2</f>
        <v>4.5</v>
      </c>
      <c r="M135" s="476">
        <v>38000</v>
      </c>
      <c r="N135" s="471" t="s">
        <v>2230</v>
      </c>
      <c r="O135" s="477" t="s">
        <v>431</v>
      </c>
      <c r="P135" s="478" t="s">
        <v>431</v>
      </c>
      <c r="Q135" s="479" t="s">
        <v>431</v>
      </c>
      <c r="R135" s="480" t="s">
        <v>431</v>
      </c>
      <c r="S135" s="477"/>
      <c r="T135" s="481" t="s">
        <v>4107</v>
      </c>
      <c r="U135" s="482"/>
      <c r="V135" s="482"/>
      <c r="W135" s="483"/>
      <c r="X135" s="482"/>
      <c r="Y135" s="482"/>
      <c r="Z135" s="482"/>
      <c r="AA135" s="482"/>
      <c r="AB135" s="482"/>
      <c r="AC135" s="482"/>
      <c r="AD135" s="482"/>
      <c r="AE135" s="482"/>
      <c r="AF135" s="482"/>
      <c r="AG135" s="482"/>
      <c r="AH135" s="482"/>
      <c r="AI135" s="482"/>
      <c r="AJ135" s="482"/>
      <c r="AK135" s="482"/>
      <c r="AL135" s="482"/>
      <c r="AM135" s="482"/>
      <c r="AN135" s="482"/>
      <c r="AO135" s="482"/>
      <c r="AP135" s="482"/>
      <c r="AQ135" s="482"/>
      <c r="AR135" s="482"/>
      <c r="AS135" s="482"/>
      <c r="AT135" s="482"/>
      <c r="AU135" s="482"/>
      <c r="AV135" s="482"/>
      <c r="AW135" s="482"/>
      <c r="AX135" s="482"/>
      <c r="AY135" s="486" t="str">
        <f t="shared" si="6"/>
        <v/>
      </c>
      <c r="AZ135" s="487" t="str">
        <f t="shared" si="7"/>
        <v/>
      </c>
      <c r="BA135" s="482"/>
      <c r="BB135" s="482"/>
      <c r="BC135" s="482"/>
      <c r="BD135" s="482"/>
      <c r="BE135" s="482"/>
      <c r="BF135" s="482"/>
      <c r="BG135" s="482"/>
      <c r="BH135" s="482"/>
      <c r="BI135" s="482"/>
      <c r="BJ135" s="482"/>
      <c r="BK135" s="482"/>
      <c r="BL135" s="482"/>
      <c r="BM135" s="482"/>
      <c r="BN135" s="482"/>
      <c r="BO135" s="482"/>
      <c r="BP135" s="482"/>
      <c r="BQ135" s="482"/>
      <c r="BR135" s="482"/>
      <c r="BS135" s="482"/>
      <c r="BT135" s="482"/>
      <c r="BU135" s="482"/>
      <c r="BV135" s="482"/>
      <c r="BW135" s="482"/>
      <c r="BX135" s="482"/>
      <c r="BY135" s="482"/>
      <c r="BZ135" s="482"/>
      <c r="CA135" s="482"/>
      <c r="CB135" s="482"/>
      <c r="CC135" s="482"/>
      <c r="CD135" s="482"/>
      <c r="CE135" s="482"/>
      <c r="CF135" s="482"/>
      <c r="CG135" s="482"/>
      <c r="CH135" s="484"/>
    </row>
    <row r="136" spans="1:90" s="469" customFormat="1" ht="12" customHeight="1" x14ac:dyDescent="0.15">
      <c r="A136" s="471" t="s">
        <v>1816</v>
      </c>
      <c r="B136" s="472">
        <v>42413</v>
      </c>
      <c r="C136" s="471" t="s">
        <v>3704</v>
      </c>
      <c r="D136" s="471" t="s">
        <v>3705</v>
      </c>
      <c r="E136" s="471" t="s">
        <v>1310</v>
      </c>
      <c r="F136" s="471" t="s">
        <v>1068</v>
      </c>
      <c r="G136" s="473">
        <v>3</v>
      </c>
      <c r="H136" s="474">
        <v>8.1999999999999993</v>
      </c>
      <c r="I136" s="475"/>
      <c r="J136" s="475"/>
      <c r="K136" s="473">
        <v>7</v>
      </c>
      <c r="L136" s="485" t="s">
        <v>431</v>
      </c>
      <c r="M136" s="476">
        <v>35000</v>
      </c>
      <c r="N136" s="471" t="s">
        <v>4084</v>
      </c>
      <c r="O136" s="477" t="s">
        <v>431</v>
      </c>
      <c r="P136" s="478" t="s">
        <v>431</v>
      </c>
      <c r="Q136" s="479" t="s">
        <v>431</v>
      </c>
      <c r="R136" s="480" t="s">
        <v>431</v>
      </c>
      <c r="S136" s="477"/>
      <c r="T136" s="481" t="s">
        <v>3797</v>
      </c>
      <c r="U136" s="482"/>
      <c r="V136" s="482"/>
      <c r="W136" s="483"/>
      <c r="X136" s="482"/>
      <c r="Y136" s="482"/>
      <c r="Z136" s="482"/>
      <c r="AA136" s="482"/>
      <c r="AB136" s="482"/>
      <c r="AC136" s="482"/>
      <c r="AD136" s="482"/>
      <c r="AE136" s="482"/>
      <c r="AF136" s="482"/>
      <c r="AG136" s="482"/>
      <c r="AH136" s="482"/>
      <c r="AI136" s="482"/>
      <c r="AJ136" s="482"/>
      <c r="AK136" s="482"/>
      <c r="AL136" s="482"/>
      <c r="AM136" s="482"/>
      <c r="AN136" s="482"/>
      <c r="AO136" s="482"/>
      <c r="AP136" s="482"/>
      <c r="AQ136" s="482"/>
      <c r="AR136" s="482"/>
      <c r="AS136" s="482"/>
      <c r="AT136" s="482"/>
      <c r="AU136" s="482"/>
      <c r="AV136" s="482"/>
      <c r="AW136" s="482"/>
      <c r="AX136" s="482"/>
      <c r="AY136" s="486" t="str">
        <f t="shared" si="6"/>
        <v/>
      </c>
      <c r="AZ136" s="487" t="str">
        <f t="shared" si="7"/>
        <v/>
      </c>
      <c r="BA136" s="482"/>
      <c r="BB136" s="482"/>
      <c r="BC136" s="482"/>
      <c r="BD136" s="482"/>
      <c r="BE136" s="482"/>
      <c r="BF136" s="482"/>
      <c r="BG136" s="482"/>
      <c r="BH136" s="482"/>
      <c r="BI136" s="482"/>
      <c r="BJ136" s="482"/>
      <c r="BK136" s="482"/>
      <c r="BL136" s="482"/>
      <c r="BM136" s="482"/>
      <c r="BN136" s="482"/>
      <c r="BO136" s="482"/>
      <c r="BP136" s="482"/>
      <c r="BQ136" s="482"/>
      <c r="BR136" s="482"/>
      <c r="BS136" s="482"/>
      <c r="BT136" s="482"/>
      <c r="BU136" s="482"/>
      <c r="BV136" s="482"/>
      <c r="BW136" s="482"/>
      <c r="BX136" s="482"/>
      <c r="BY136" s="482"/>
      <c r="BZ136" s="482"/>
      <c r="CA136" s="482"/>
      <c r="CB136" s="482"/>
      <c r="CC136" s="482"/>
      <c r="CD136" s="482"/>
      <c r="CE136" s="482"/>
      <c r="CF136" s="482"/>
      <c r="CG136" s="482"/>
      <c r="CH136" s="484"/>
    </row>
    <row r="137" spans="1:90" s="461" customFormat="1" ht="12" customHeight="1" x14ac:dyDescent="0.15">
      <c r="A137" s="522" t="s">
        <v>1295</v>
      </c>
      <c r="B137" s="467">
        <v>42413</v>
      </c>
      <c r="C137" s="468" t="s">
        <v>646</v>
      </c>
      <c r="D137" s="468" t="s">
        <v>3751</v>
      </c>
      <c r="E137" s="468" t="s">
        <v>3857</v>
      </c>
      <c r="F137" s="468" t="s">
        <v>1068</v>
      </c>
      <c r="G137" s="466">
        <v>10</v>
      </c>
      <c r="H137" s="465">
        <v>8.5</v>
      </c>
      <c r="I137" s="466" t="s">
        <v>3730</v>
      </c>
      <c r="J137" s="466"/>
      <c r="K137" s="466">
        <v>10</v>
      </c>
      <c r="L137" s="506">
        <v>8</v>
      </c>
      <c r="M137" s="463">
        <v>150000</v>
      </c>
      <c r="N137" s="468" t="s">
        <v>4035</v>
      </c>
      <c r="O137" s="466">
        <v>5</v>
      </c>
      <c r="P137" s="523">
        <v>-4.75</v>
      </c>
      <c r="Q137" s="462">
        <v>1.1591435185185186E-3</v>
      </c>
      <c r="R137" s="463">
        <v>4500</v>
      </c>
      <c r="S137" s="466"/>
      <c r="T137" s="524" t="s">
        <v>4112</v>
      </c>
      <c r="W137" s="460"/>
      <c r="AY137" s="486" t="str">
        <f t="shared" si="6"/>
        <v/>
      </c>
      <c r="AZ137" s="487" t="str">
        <f t="shared" si="7"/>
        <v/>
      </c>
      <c r="CH137" s="459"/>
    </row>
    <row r="138" spans="1:90" s="469" customFormat="1" ht="12" customHeight="1" x14ac:dyDescent="0.15">
      <c r="A138" s="471" t="s">
        <v>3263</v>
      </c>
      <c r="B138" s="472">
        <v>42413</v>
      </c>
      <c r="C138" s="471" t="s">
        <v>3719</v>
      </c>
      <c r="D138" s="471" t="s">
        <v>3721</v>
      </c>
      <c r="E138" s="471" t="s">
        <v>3720</v>
      </c>
      <c r="F138" s="471" t="s">
        <v>993</v>
      </c>
      <c r="G138" s="473">
        <v>6</v>
      </c>
      <c r="H138" s="474">
        <v>6.5</v>
      </c>
      <c r="I138" s="475"/>
      <c r="J138" s="475"/>
      <c r="K138" s="473">
        <v>8</v>
      </c>
      <c r="L138" s="458">
        <f>5/2</f>
        <v>2.5</v>
      </c>
      <c r="M138" s="476">
        <v>29500</v>
      </c>
      <c r="N138" s="471" t="s">
        <v>3225</v>
      </c>
      <c r="O138" s="477" t="s">
        <v>431</v>
      </c>
      <c r="P138" s="478" t="s">
        <v>431</v>
      </c>
      <c r="Q138" s="479" t="s">
        <v>431</v>
      </c>
      <c r="R138" s="480" t="s">
        <v>431</v>
      </c>
      <c r="S138" s="477"/>
      <c r="T138" s="481" t="s">
        <v>4105</v>
      </c>
      <c r="U138" s="482"/>
      <c r="V138" s="482"/>
      <c r="W138" s="483"/>
      <c r="X138" s="482"/>
      <c r="Y138" s="482"/>
      <c r="Z138" s="482"/>
      <c r="AA138" s="482"/>
      <c r="AB138" s="482"/>
      <c r="AC138" s="482"/>
      <c r="AD138" s="482"/>
      <c r="AE138" s="482"/>
      <c r="AF138" s="482"/>
      <c r="AG138" s="482"/>
      <c r="AH138" s="482"/>
      <c r="AI138" s="482"/>
      <c r="AJ138" s="482"/>
      <c r="AK138" s="482"/>
      <c r="AL138" s="482"/>
      <c r="AM138" s="482"/>
      <c r="AN138" s="482"/>
      <c r="AO138" s="482"/>
      <c r="AP138" s="482"/>
      <c r="AQ138" s="482"/>
      <c r="AR138" s="482"/>
      <c r="AS138" s="482"/>
      <c r="AT138" s="482"/>
      <c r="AU138" s="482"/>
      <c r="AV138" s="482"/>
      <c r="AW138" s="482"/>
      <c r="AX138" s="482"/>
      <c r="AY138" s="486" t="str">
        <f t="shared" si="6"/>
        <v/>
      </c>
      <c r="AZ138" s="487" t="str">
        <f t="shared" si="7"/>
        <v/>
      </c>
      <c r="BA138" s="482"/>
      <c r="BB138" s="482"/>
      <c r="BC138" s="482"/>
      <c r="BD138" s="482"/>
      <c r="BE138" s="482"/>
      <c r="BF138" s="482"/>
      <c r="BG138" s="482"/>
      <c r="BH138" s="482"/>
      <c r="BI138" s="482"/>
      <c r="BJ138" s="482"/>
      <c r="BK138" s="482"/>
      <c r="BL138" s="482"/>
      <c r="BM138" s="482"/>
      <c r="BN138" s="482"/>
      <c r="BO138" s="482"/>
      <c r="BP138" s="482"/>
      <c r="BQ138" s="482"/>
      <c r="BR138" s="482"/>
      <c r="BS138" s="482"/>
      <c r="BT138" s="482"/>
      <c r="BU138" s="482"/>
      <c r="BV138" s="482"/>
      <c r="BW138" s="482"/>
      <c r="BX138" s="482"/>
      <c r="BY138" s="482"/>
      <c r="BZ138" s="482"/>
      <c r="CA138" s="482"/>
      <c r="CB138" s="482"/>
      <c r="CC138" s="482"/>
      <c r="CD138" s="482"/>
      <c r="CE138" s="482"/>
      <c r="CF138" s="482"/>
      <c r="CG138" s="482"/>
      <c r="CH138" s="484"/>
    </row>
    <row r="139" spans="1:90" s="461" customFormat="1" ht="12" customHeight="1" x14ac:dyDescent="0.15">
      <c r="A139" s="522" t="s">
        <v>1788</v>
      </c>
      <c r="B139" s="467">
        <v>42414</v>
      </c>
      <c r="C139" s="468" t="s">
        <v>1474</v>
      </c>
      <c r="D139" s="468" t="s">
        <v>4089</v>
      </c>
      <c r="E139" s="468" t="s">
        <v>4090</v>
      </c>
      <c r="F139" s="468" t="s">
        <v>4087</v>
      </c>
      <c r="G139" s="466">
        <v>10</v>
      </c>
      <c r="H139" s="465">
        <v>7</v>
      </c>
      <c r="I139" s="466"/>
      <c r="J139" s="466"/>
      <c r="K139" s="466">
        <v>16</v>
      </c>
      <c r="L139" s="464" t="s">
        <v>431</v>
      </c>
      <c r="M139" s="463">
        <v>372531</v>
      </c>
      <c r="N139" s="468" t="s">
        <v>4088</v>
      </c>
      <c r="O139" s="466">
        <v>15</v>
      </c>
      <c r="P139" s="523">
        <v>-20.5</v>
      </c>
      <c r="Q139" s="462">
        <v>9.5023148148148159E-4</v>
      </c>
      <c r="R139" s="463">
        <v>0</v>
      </c>
      <c r="S139" s="466" t="s">
        <v>625</v>
      </c>
      <c r="T139" s="524"/>
      <c r="W139" s="460"/>
      <c r="AY139" s="486">
        <f t="shared" si="6"/>
        <v>0</v>
      </c>
      <c r="AZ139" s="487" t="str">
        <f t="shared" si="7"/>
        <v/>
      </c>
      <c r="CH139" s="459"/>
    </row>
    <row r="140" spans="1:90" s="461" customFormat="1" ht="12" customHeight="1" x14ac:dyDescent="0.15">
      <c r="A140" s="522" t="s">
        <v>1667</v>
      </c>
      <c r="B140" s="467">
        <v>42414</v>
      </c>
      <c r="C140" s="468" t="s">
        <v>4073</v>
      </c>
      <c r="D140" s="468" t="s">
        <v>3722</v>
      </c>
      <c r="E140" s="468" t="s">
        <v>4086</v>
      </c>
      <c r="F140" s="468" t="s">
        <v>5446</v>
      </c>
      <c r="G140" s="466">
        <v>8</v>
      </c>
      <c r="H140" s="465">
        <v>8.3000000000000007</v>
      </c>
      <c r="I140" s="466" t="s">
        <v>1360</v>
      </c>
      <c r="J140" s="466"/>
      <c r="K140" s="466">
        <v>14</v>
      </c>
      <c r="L140" s="464" t="s">
        <v>431</v>
      </c>
      <c r="M140" s="463">
        <v>156625</v>
      </c>
      <c r="N140" s="468" t="s">
        <v>4074</v>
      </c>
      <c r="O140" s="466">
        <v>6</v>
      </c>
      <c r="P140" s="523">
        <v>-2.5</v>
      </c>
      <c r="Q140" s="462">
        <v>1.151851851851852E-3</v>
      </c>
      <c r="R140" s="463">
        <v>0</v>
      </c>
      <c r="S140" s="466" t="s">
        <v>625</v>
      </c>
      <c r="T140" s="524"/>
      <c r="W140" s="460"/>
      <c r="AY140" s="486">
        <f t="shared" si="6"/>
        <v>0</v>
      </c>
      <c r="AZ140" s="487" t="str">
        <f t="shared" si="7"/>
        <v/>
      </c>
      <c r="CH140" s="459"/>
    </row>
    <row r="141" spans="1:90" s="461" customFormat="1" ht="12" customHeight="1" x14ac:dyDescent="0.15">
      <c r="A141" s="522" t="s">
        <v>3941</v>
      </c>
      <c r="B141" s="467">
        <v>42414</v>
      </c>
      <c r="C141" s="468" t="s">
        <v>2744</v>
      </c>
      <c r="D141" s="468" t="s">
        <v>3832</v>
      </c>
      <c r="E141" s="468" t="s">
        <v>3699</v>
      </c>
      <c r="F141" s="468" t="s">
        <v>3686</v>
      </c>
      <c r="G141" s="466">
        <v>2</v>
      </c>
      <c r="H141" s="465">
        <v>5.5</v>
      </c>
      <c r="I141" s="466"/>
      <c r="J141" s="466"/>
      <c r="K141" s="466">
        <v>8</v>
      </c>
      <c r="L141" s="464" t="s">
        <v>431</v>
      </c>
      <c r="M141" s="463">
        <v>7026</v>
      </c>
      <c r="N141" s="468" t="s">
        <v>3225</v>
      </c>
      <c r="O141" s="466">
        <v>6</v>
      </c>
      <c r="P141" s="523">
        <v>-10.75</v>
      </c>
      <c r="Q141" s="462">
        <v>7.5115740740740742E-4</v>
      </c>
      <c r="R141" s="463">
        <v>99</v>
      </c>
      <c r="S141" s="466" t="s">
        <v>625</v>
      </c>
      <c r="T141" s="524"/>
      <c r="W141" s="460"/>
      <c r="AY141" s="486">
        <f t="shared" si="6"/>
        <v>99</v>
      </c>
      <c r="AZ141" s="487" t="str">
        <f t="shared" si="7"/>
        <v/>
      </c>
      <c r="CH141" s="459"/>
    </row>
    <row r="142" spans="1:90" s="469" customFormat="1" ht="12" customHeight="1" x14ac:dyDescent="0.15">
      <c r="A142" s="471" t="s">
        <v>1529</v>
      </c>
      <c r="B142" s="472">
        <v>42414</v>
      </c>
      <c r="C142" s="471" t="s">
        <v>3617</v>
      </c>
      <c r="D142" s="471" t="s">
        <v>3618</v>
      </c>
      <c r="E142" s="471" t="s">
        <v>3671</v>
      </c>
      <c r="F142" s="471" t="s">
        <v>525</v>
      </c>
      <c r="G142" s="473">
        <v>2</v>
      </c>
      <c r="H142" s="474">
        <v>8</v>
      </c>
      <c r="I142" s="475"/>
      <c r="J142" s="475"/>
      <c r="K142" s="473">
        <v>6</v>
      </c>
      <c r="L142" s="485" t="s">
        <v>431</v>
      </c>
      <c r="M142" s="476">
        <v>47000</v>
      </c>
      <c r="N142" s="471" t="s">
        <v>3971</v>
      </c>
      <c r="O142" s="477" t="s">
        <v>431</v>
      </c>
      <c r="P142" s="478" t="s">
        <v>431</v>
      </c>
      <c r="Q142" s="479" t="s">
        <v>431</v>
      </c>
      <c r="R142" s="480" t="s">
        <v>431</v>
      </c>
      <c r="S142" s="477"/>
      <c r="T142" s="481" t="s">
        <v>4106</v>
      </c>
      <c r="U142" s="482"/>
      <c r="V142" s="482"/>
      <c r="W142" s="483"/>
      <c r="X142" s="482"/>
      <c r="Y142" s="482"/>
      <c r="Z142" s="482"/>
      <c r="AA142" s="482"/>
      <c r="AB142" s="482"/>
      <c r="AC142" s="482"/>
      <c r="AD142" s="482"/>
      <c r="AE142" s="482"/>
      <c r="AF142" s="482"/>
      <c r="AG142" s="482"/>
      <c r="AH142" s="482"/>
      <c r="AI142" s="482"/>
      <c r="AJ142" s="482"/>
      <c r="AK142" s="482"/>
      <c r="AL142" s="482"/>
      <c r="AM142" s="482"/>
      <c r="AN142" s="482"/>
      <c r="AO142" s="482"/>
      <c r="AP142" s="482"/>
      <c r="AQ142" s="482"/>
      <c r="AR142" s="482"/>
      <c r="AS142" s="482"/>
      <c r="AT142" s="482"/>
      <c r="AU142" s="482"/>
      <c r="AV142" s="482"/>
      <c r="AW142" s="482"/>
      <c r="AX142" s="482"/>
      <c r="AY142" s="486" t="str">
        <f t="shared" si="6"/>
        <v/>
      </c>
      <c r="AZ142" s="487" t="str">
        <f t="shared" si="7"/>
        <v/>
      </c>
      <c r="BA142" s="482"/>
      <c r="BB142" s="482"/>
      <c r="BC142" s="482"/>
      <c r="BD142" s="482"/>
      <c r="BE142" s="482"/>
      <c r="BF142" s="482"/>
      <c r="BG142" s="482"/>
      <c r="BH142" s="482"/>
      <c r="BI142" s="482"/>
      <c r="BJ142" s="482"/>
      <c r="BK142" s="482"/>
      <c r="BL142" s="482"/>
      <c r="BM142" s="482"/>
      <c r="BN142" s="482"/>
      <c r="BO142" s="482"/>
      <c r="BP142" s="482"/>
      <c r="BQ142" s="482"/>
      <c r="BR142" s="482"/>
      <c r="BS142" s="482"/>
      <c r="BT142" s="482"/>
      <c r="BU142" s="482"/>
      <c r="BV142" s="482"/>
      <c r="BW142" s="482"/>
      <c r="BX142" s="482"/>
      <c r="BY142" s="482"/>
      <c r="BZ142" s="482"/>
      <c r="CA142" s="482"/>
      <c r="CB142" s="482"/>
      <c r="CC142" s="482"/>
      <c r="CD142" s="482"/>
      <c r="CE142" s="482"/>
      <c r="CF142" s="482"/>
      <c r="CG142" s="482"/>
      <c r="CH142" s="484"/>
    </row>
    <row r="143" spans="1:90" s="461" customFormat="1" ht="12" customHeight="1" x14ac:dyDescent="0.15">
      <c r="A143" s="522" t="s">
        <v>1897</v>
      </c>
      <c r="B143" s="467">
        <v>42414</v>
      </c>
      <c r="C143" s="468" t="s">
        <v>424</v>
      </c>
      <c r="D143" s="468" t="s">
        <v>4095</v>
      </c>
      <c r="E143" s="468" t="s">
        <v>4029</v>
      </c>
      <c r="F143" s="468" t="s">
        <v>540</v>
      </c>
      <c r="G143" s="466">
        <v>6</v>
      </c>
      <c r="H143" s="465">
        <v>5</v>
      </c>
      <c r="I143" s="466" t="s">
        <v>3730</v>
      </c>
      <c r="J143" s="466"/>
      <c r="K143" s="466">
        <v>9</v>
      </c>
      <c r="L143" s="506">
        <v>6</v>
      </c>
      <c r="M143" s="463">
        <v>44000</v>
      </c>
      <c r="N143" s="468" t="s">
        <v>4096</v>
      </c>
      <c r="O143" s="466">
        <v>6</v>
      </c>
      <c r="P143" s="523">
        <v>-7</v>
      </c>
      <c r="Q143" s="462">
        <v>6.5393518518518524E-4</v>
      </c>
      <c r="R143" s="463">
        <v>380</v>
      </c>
      <c r="S143" s="466"/>
      <c r="T143" s="524"/>
      <c r="W143" s="460"/>
      <c r="AY143" s="486" t="str">
        <f t="shared" si="6"/>
        <v/>
      </c>
      <c r="AZ143" s="487" t="str">
        <f t="shared" si="7"/>
        <v/>
      </c>
      <c r="CH143" s="459"/>
    </row>
    <row r="144" spans="1:90" s="461" customFormat="1" ht="12" customHeight="1" x14ac:dyDescent="0.15">
      <c r="A144" s="522" t="s">
        <v>36</v>
      </c>
      <c r="B144" s="467">
        <v>42414</v>
      </c>
      <c r="C144" s="468" t="s">
        <v>4091</v>
      </c>
      <c r="D144" s="468" t="s">
        <v>4092</v>
      </c>
      <c r="E144" s="468" t="s">
        <v>4093</v>
      </c>
      <c r="F144" s="468" t="s">
        <v>439</v>
      </c>
      <c r="G144" s="466">
        <v>4</v>
      </c>
      <c r="H144" s="465">
        <v>6</v>
      </c>
      <c r="I144" s="466"/>
      <c r="J144" s="466"/>
      <c r="K144" s="466">
        <v>8</v>
      </c>
      <c r="L144" s="506">
        <v>3</v>
      </c>
      <c r="M144" s="463">
        <v>25000</v>
      </c>
      <c r="N144" s="468" t="s">
        <v>3920</v>
      </c>
      <c r="O144" s="466">
        <v>5</v>
      </c>
      <c r="P144" s="523">
        <v>-5</v>
      </c>
      <c r="Q144" s="462">
        <v>8.2812499999999987E-4</v>
      </c>
      <c r="R144" s="463">
        <v>750</v>
      </c>
      <c r="S144" s="466"/>
      <c r="T144" s="524" t="s">
        <v>3755</v>
      </c>
      <c r="W144" s="460"/>
      <c r="AY144" s="486" t="str">
        <f t="shared" si="6"/>
        <v/>
      </c>
      <c r="AZ144" s="487" t="str">
        <f t="shared" si="7"/>
        <v/>
      </c>
      <c r="CH144" s="459"/>
    </row>
    <row r="145" spans="1:90" s="461" customFormat="1" ht="12" customHeight="1" x14ac:dyDescent="0.15">
      <c r="A145" s="522" t="s">
        <v>2364</v>
      </c>
      <c r="B145" s="467">
        <v>42414</v>
      </c>
      <c r="C145" s="468" t="s">
        <v>3922</v>
      </c>
      <c r="D145" s="468" t="s">
        <v>3923</v>
      </c>
      <c r="E145" s="468" t="s">
        <v>3924</v>
      </c>
      <c r="F145" s="468" t="s">
        <v>1068</v>
      </c>
      <c r="G145" s="466">
        <v>9</v>
      </c>
      <c r="H145" s="465">
        <v>6.5</v>
      </c>
      <c r="I145" s="466"/>
      <c r="J145" s="466"/>
      <c r="K145" s="466">
        <v>10</v>
      </c>
      <c r="L145" s="506">
        <v>6</v>
      </c>
      <c r="M145" s="463">
        <v>13000</v>
      </c>
      <c r="N145" s="468" t="s">
        <v>3925</v>
      </c>
      <c r="O145" s="466">
        <v>8</v>
      </c>
      <c r="P145" s="523">
        <v>-10.5</v>
      </c>
      <c r="Q145" s="462">
        <v>9.0659722222222216E-4</v>
      </c>
      <c r="R145" s="463">
        <v>115</v>
      </c>
      <c r="S145" s="466"/>
      <c r="T145" s="524"/>
      <c r="W145" s="460"/>
      <c r="AY145" s="486" t="str">
        <f t="shared" si="6"/>
        <v/>
      </c>
      <c r="AZ145" s="487" t="str">
        <f t="shared" si="7"/>
        <v/>
      </c>
      <c r="CH145" s="459"/>
    </row>
    <row r="146" spans="1:90" s="461" customFormat="1" ht="12" customHeight="1" x14ac:dyDescent="0.15">
      <c r="A146" s="522" t="s">
        <v>2172</v>
      </c>
      <c r="B146" s="467">
        <v>42414</v>
      </c>
      <c r="C146" s="468" t="s">
        <v>3707</v>
      </c>
      <c r="D146" s="468" t="s">
        <v>3708</v>
      </c>
      <c r="E146" s="468" t="s">
        <v>4076</v>
      </c>
      <c r="F146" s="468" t="s">
        <v>4077</v>
      </c>
      <c r="G146" s="466">
        <v>8</v>
      </c>
      <c r="H146" s="465">
        <v>6</v>
      </c>
      <c r="I146" s="466"/>
      <c r="J146" s="466"/>
      <c r="K146" s="466">
        <v>7</v>
      </c>
      <c r="L146" s="506">
        <f>6/5</f>
        <v>1.2</v>
      </c>
      <c r="M146" s="463">
        <v>5000</v>
      </c>
      <c r="N146" s="468" t="s">
        <v>3739</v>
      </c>
      <c r="O146" s="466">
        <v>2</v>
      </c>
      <c r="P146" s="555" t="s">
        <v>4111</v>
      </c>
      <c r="Q146" s="462">
        <v>8.8541666666666662E-4</v>
      </c>
      <c r="R146" s="463">
        <v>1000</v>
      </c>
      <c r="S146" s="466" t="s">
        <v>625</v>
      </c>
      <c r="T146" s="524" t="s">
        <v>3714</v>
      </c>
      <c r="W146" s="460"/>
      <c r="AY146" s="486">
        <f t="shared" si="6"/>
        <v>1000</v>
      </c>
      <c r="AZ146" s="487" t="str">
        <f t="shared" si="7"/>
        <v/>
      </c>
      <c r="CH146" s="459"/>
    </row>
    <row r="147" spans="1:90" s="461" customFormat="1" ht="12" customHeight="1" x14ac:dyDescent="0.15">
      <c r="A147" s="522" t="s">
        <v>4063</v>
      </c>
      <c r="B147" s="467">
        <v>42414</v>
      </c>
      <c r="C147" s="468" t="s">
        <v>4064</v>
      </c>
      <c r="D147" s="468" t="s">
        <v>4014</v>
      </c>
      <c r="E147" s="468" t="s">
        <v>4065</v>
      </c>
      <c r="F147" s="468" t="s">
        <v>3686</v>
      </c>
      <c r="G147" s="466">
        <v>12</v>
      </c>
      <c r="H147" s="465">
        <v>5.5</v>
      </c>
      <c r="I147" s="466"/>
      <c r="J147" s="466"/>
      <c r="K147" s="466">
        <v>11</v>
      </c>
      <c r="L147" s="464" t="s">
        <v>431</v>
      </c>
      <c r="M147" s="463">
        <v>5992</v>
      </c>
      <c r="N147" s="468" t="s">
        <v>3653</v>
      </c>
      <c r="O147" s="466">
        <v>7</v>
      </c>
      <c r="P147" s="523">
        <v>-9.75</v>
      </c>
      <c r="Q147" s="462">
        <v>7.5937499999999996E-4</v>
      </c>
      <c r="R147" s="463">
        <v>99</v>
      </c>
      <c r="S147" s="466" t="s">
        <v>625</v>
      </c>
      <c r="T147" s="524"/>
      <c r="W147" s="460"/>
      <c r="AY147" s="486">
        <f t="shared" si="6"/>
        <v>99</v>
      </c>
      <c r="AZ147" s="487" t="str">
        <f t="shared" si="7"/>
        <v/>
      </c>
      <c r="CH147" s="459"/>
    </row>
    <row r="148" spans="1:90" s="469" customFormat="1" ht="12" customHeight="1" x14ac:dyDescent="0.15">
      <c r="A148" s="471" t="s">
        <v>2459</v>
      </c>
      <c r="B148" s="472">
        <v>42415</v>
      </c>
      <c r="C148" s="471" t="s">
        <v>3293</v>
      </c>
      <c r="D148" s="471" t="s">
        <v>3294</v>
      </c>
      <c r="E148" s="471" t="s">
        <v>3188</v>
      </c>
      <c r="F148" s="471" t="s">
        <v>788</v>
      </c>
      <c r="G148" s="473">
        <v>5</v>
      </c>
      <c r="H148" s="474">
        <v>8</v>
      </c>
      <c r="I148" s="475"/>
      <c r="J148" s="475"/>
      <c r="K148" s="473">
        <v>6</v>
      </c>
      <c r="L148" s="485" t="s">
        <v>431</v>
      </c>
      <c r="M148" s="476">
        <v>75000</v>
      </c>
      <c r="N148" s="471" t="s">
        <v>4109</v>
      </c>
      <c r="O148" s="477" t="s">
        <v>431</v>
      </c>
      <c r="P148" s="478" t="s">
        <v>431</v>
      </c>
      <c r="Q148" s="479" t="s">
        <v>431</v>
      </c>
      <c r="R148" s="480" t="s">
        <v>431</v>
      </c>
      <c r="S148" s="477"/>
      <c r="T148" s="481" t="s">
        <v>4110</v>
      </c>
      <c r="U148" s="482"/>
      <c r="V148" s="482"/>
      <c r="W148" s="483"/>
      <c r="X148" s="482"/>
      <c r="Y148" s="482"/>
      <c r="Z148" s="482"/>
      <c r="AA148" s="482"/>
      <c r="AB148" s="482"/>
      <c r="AC148" s="482"/>
      <c r="AD148" s="482"/>
      <c r="AE148" s="482"/>
      <c r="AF148" s="482"/>
      <c r="AG148" s="482"/>
      <c r="AH148" s="482"/>
      <c r="AI148" s="482"/>
      <c r="AJ148" s="482"/>
      <c r="AK148" s="482"/>
      <c r="AL148" s="482"/>
      <c r="AM148" s="482"/>
      <c r="AN148" s="482"/>
      <c r="AO148" s="482"/>
      <c r="AP148" s="482"/>
      <c r="AQ148" s="482"/>
      <c r="AR148" s="482"/>
      <c r="AS148" s="482"/>
      <c r="AT148" s="482"/>
      <c r="AU148" s="482"/>
      <c r="AV148" s="482"/>
      <c r="AW148" s="482"/>
      <c r="AX148" s="482"/>
      <c r="AY148" s="486" t="str">
        <f t="shared" si="6"/>
        <v/>
      </c>
      <c r="AZ148" s="487" t="str">
        <f t="shared" si="7"/>
        <v/>
      </c>
      <c r="BA148" s="482"/>
      <c r="BB148" s="482"/>
      <c r="BC148" s="482"/>
      <c r="BD148" s="482"/>
      <c r="BE148" s="482"/>
      <c r="BF148" s="482"/>
      <c r="BG148" s="482"/>
      <c r="BH148" s="482"/>
      <c r="BI148" s="482"/>
      <c r="BJ148" s="482"/>
      <c r="BK148" s="482"/>
      <c r="BL148" s="482"/>
      <c r="BM148" s="482"/>
      <c r="BN148" s="482"/>
      <c r="BO148" s="482"/>
      <c r="BP148" s="482"/>
      <c r="BQ148" s="482"/>
      <c r="BR148" s="482"/>
      <c r="BS148" s="482"/>
      <c r="BT148" s="482"/>
      <c r="BU148" s="482"/>
      <c r="BV148" s="482"/>
      <c r="BW148" s="482"/>
      <c r="BX148" s="482"/>
      <c r="BY148" s="482"/>
      <c r="BZ148" s="482"/>
      <c r="CA148" s="482"/>
      <c r="CB148" s="482"/>
      <c r="CC148" s="482"/>
      <c r="CD148" s="482"/>
      <c r="CE148" s="482"/>
      <c r="CF148" s="482"/>
      <c r="CG148" s="482"/>
      <c r="CH148" s="484"/>
    </row>
    <row r="149" spans="1:90" s="461" customFormat="1" ht="12" customHeight="1" x14ac:dyDescent="0.15">
      <c r="A149" s="522" t="s">
        <v>2355</v>
      </c>
      <c r="B149" s="467">
        <v>42415</v>
      </c>
      <c r="C149" s="468" t="s">
        <v>3453</v>
      </c>
      <c r="D149" s="468" t="s">
        <v>1623</v>
      </c>
      <c r="E149" s="468" t="s">
        <v>4113</v>
      </c>
      <c r="F149" s="468" t="s">
        <v>540</v>
      </c>
      <c r="G149" s="466">
        <v>3</v>
      </c>
      <c r="H149" s="465">
        <v>7</v>
      </c>
      <c r="I149" s="466"/>
      <c r="J149" s="466"/>
      <c r="K149" s="466">
        <v>6</v>
      </c>
      <c r="L149" s="506">
        <v>2.5</v>
      </c>
      <c r="M149" s="463">
        <v>60000</v>
      </c>
      <c r="N149" s="468" t="s">
        <v>4071</v>
      </c>
      <c r="O149" s="466">
        <v>6</v>
      </c>
      <c r="P149" s="523">
        <v>-8.5</v>
      </c>
      <c r="Q149" s="462">
        <v>9.638888888888888E-4</v>
      </c>
      <c r="R149" s="463">
        <v>600</v>
      </c>
      <c r="S149" s="466"/>
      <c r="T149" s="524" t="s">
        <v>4114</v>
      </c>
      <c r="W149" s="460"/>
      <c r="AY149" s="486" t="str">
        <f t="shared" si="6"/>
        <v/>
      </c>
      <c r="AZ149" s="487" t="str">
        <f t="shared" si="7"/>
        <v/>
      </c>
      <c r="CH149" s="459"/>
    </row>
    <row r="150" spans="1:90" s="461" customFormat="1" ht="12" customHeight="1" x14ac:dyDescent="0.15">
      <c r="A150" s="522" t="s">
        <v>21</v>
      </c>
      <c r="B150" s="467">
        <v>42415</v>
      </c>
      <c r="C150" s="468" t="s">
        <v>3334</v>
      </c>
      <c r="D150" s="468" t="s">
        <v>3335</v>
      </c>
      <c r="E150" s="468" t="s">
        <v>3883</v>
      </c>
      <c r="F150" s="468" t="s">
        <v>595</v>
      </c>
      <c r="G150" s="466">
        <v>7</v>
      </c>
      <c r="H150" s="465">
        <v>7.5</v>
      </c>
      <c r="I150" s="466" t="s">
        <v>3730</v>
      </c>
      <c r="J150" s="466"/>
      <c r="K150" s="466">
        <v>9</v>
      </c>
      <c r="L150" s="506">
        <v>4</v>
      </c>
      <c r="M150" s="463">
        <v>16000</v>
      </c>
      <c r="N150" s="468" t="s">
        <v>3920</v>
      </c>
      <c r="O150" s="466">
        <v>2</v>
      </c>
      <c r="P150" s="523">
        <v>-2</v>
      </c>
      <c r="Q150" s="462">
        <v>7.5937499999999996E-4</v>
      </c>
      <c r="R150" s="463">
        <f>3800+2280</f>
        <v>6080</v>
      </c>
      <c r="S150" s="466"/>
      <c r="T150" s="524"/>
      <c r="W150" s="460"/>
      <c r="AY150" s="486" t="str">
        <f t="shared" si="6"/>
        <v/>
      </c>
      <c r="AZ150" s="487" t="str">
        <f t="shared" si="7"/>
        <v/>
      </c>
      <c r="CH150" s="459"/>
    </row>
    <row r="151" spans="1:90" s="461" customFormat="1" ht="12" customHeight="1" x14ac:dyDescent="0.15">
      <c r="A151" s="522" t="s">
        <v>2228</v>
      </c>
      <c r="B151" s="467">
        <v>42418</v>
      </c>
      <c r="C151" s="468" t="s">
        <v>3866</v>
      </c>
      <c r="D151" s="468" t="s">
        <v>3867</v>
      </c>
      <c r="E151" s="468" t="s">
        <v>4115</v>
      </c>
      <c r="F151" s="468" t="s">
        <v>439</v>
      </c>
      <c r="G151" s="466">
        <v>2</v>
      </c>
      <c r="H151" s="465">
        <v>6</v>
      </c>
      <c r="I151" s="466"/>
      <c r="J151" s="466"/>
      <c r="K151" s="466">
        <v>11</v>
      </c>
      <c r="L151" s="506">
        <v>20</v>
      </c>
      <c r="M151" s="463">
        <v>21500</v>
      </c>
      <c r="N151" s="468" t="s">
        <v>4116</v>
      </c>
      <c r="O151" s="466">
        <v>5</v>
      </c>
      <c r="P151" s="523">
        <v>-9.75</v>
      </c>
      <c r="Q151" s="462">
        <v>8.5081018518518524E-4</v>
      </c>
      <c r="R151" s="463">
        <v>645</v>
      </c>
      <c r="S151" s="466"/>
      <c r="T151" s="524"/>
      <c r="W151" s="460"/>
      <c r="AY151" s="486" t="str">
        <f t="shared" si="6"/>
        <v/>
      </c>
      <c r="AZ151" s="487" t="str">
        <f t="shared" si="7"/>
        <v/>
      </c>
      <c r="CH151" s="459"/>
    </row>
    <row r="152" spans="1:90" s="469" customFormat="1" ht="12" customHeight="1" x14ac:dyDescent="0.15">
      <c r="A152" s="444" t="s">
        <v>4192</v>
      </c>
      <c r="B152" s="445">
        <v>42419</v>
      </c>
      <c r="C152" s="446" t="s">
        <v>3305</v>
      </c>
      <c r="D152" s="446" t="s">
        <v>4189</v>
      </c>
      <c r="E152" s="446" t="s">
        <v>4190</v>
      </c>
      <c r="F152" s="446" t="s">
        <v>4187</v>
      </c>
      <c r="G152" s="447">
        <v>1</v>
      </c>
      <c r="H152" s="448">
        <v>5</v>
      </c>
      <c r="I152" s="447"/>
      <c r="J152" s="447"/>
      <c r="K152" s="447">
        <v>11</v>
      </c>
      <c r="L152" s="448" t="s">
        <v>431</v>
      </c>
      <c r="M152" s="450">
        <v>32125</v>
      </c>
      <c r="N152" s="446" t="s">
        <v>4188</v>
      </c>
      <c r="O152" s="447">
        <v>1</v>
      </c>
      <c r="P152" s="451">
        <v>1</v>
      </c>
      <c r="Q152" s="452">
        <v>7.0023148148148147E-4</v>
      </c>
      <c r="R152" s="450">
        <v>18311</v>
      </c>
      <c r="S152" s="447"/>
      <c r="T152" s="453"/>
      <c r="U152" s="454"/>
      <c r="V152" s="454"/>
      <c r="W152" s="455"/>
      <c r="X152" s="454"/>
      <c r="Y152" s="454"/>
      <c r="Z152" s="454"/>
      <c r="AA152" s="454"/>
      <c r="AB152" s="454"/>
      <c r="AC152" s="454"/>
      <c r="AD152" s="454"/>
      <c r="AE152" s="454"/>
      <c r="AF152" s="454"/>
      <c r="AG152" s="454"/>
      <c r="AH152" s="454"/>
      <c r="AI152" s="454"/>
      <c r="AJ152" s="454"/>
      <c r="AK152" s="454"/>
      <c r="AL152" s="454"/>
      <c r="AM152" s="454"/>
      <c r="AN152" s="454"/>
      <c r="AO152" s="454"/>
      <c r="AP152" s="454"/>
      <c r="AQ152" s="454"/>
      <c r="AR152" s="454"/>
      <c r="AS152" s="454"/>
      <c r="AT152" s="454"/>
      <c r="AU152" s="454"/>
      <c r="AV152" s="454"/>
      <c r="AW152" s="454"/>
      <c r="AX152" s="454"/>
      <c r="AY152" s="486" t="str">
        <f t="shared" si="6"/>
        <v/>
      </c>
      <c r="AZ152" s="487">
        <f t="shared" si="7"/>
        <v>1</v>
      </c>
      <c r="BA152" s="454"/>
      <c r="BB152" s="454"/>
      <c r="BC152" s="454"/>
      <c r="BD152" s="454"/>
      <c r="BE152" s="454"/>
      <c r="BF152" s="454"/>
      <c r="BG152" s="454"/>
      <c r="BH152" s="454"/>
      <c r="BI152" s="454"/>
      <c r="BJ152" s="454"/>
      <c r="BK152" s="454"/>
      <c r="BL152" s="454"/>
      <c r="BM152" s="454"/>
      <c r="BN152" s="454"/>
      <c r="BO152" s="454"/>
      <c r="BP152" s="454"/>
      <c r="BQ152" s="454"/>
      <c r="BR152" s="454"/>
      <c r="BS152" s="454"/>
      <c r="BT152" s="454"/>
      <c r="BU152" s="454"/>
      <c r="BV152" s="454"/>
      <c r="BW152" s="454"/>
      <c r="BX152" s="454"/>
      <c r="BY152" s="454"/>
      <c r="BZ152" s="454"/>
      <c r="CA152" s="454"/>
      <c r="CB152" s="454"/>
      <c r="CC152" s="454"/>
      <c r="CD152" s="454"/>
      <c r="CE152" s="454"/>
      <c r="CF152" s="454"/>
      <c r="CG152" s="454"/>
      <c r="CH152" s="456"/>
      <c r="CI152" s="454"/>
      <c r="CJ152" s="454"/>
      <c r="CK152" s="454"/>
      <c r="CL152" s="454"/>
    </row>
    <row r="153" spans="1:90" s="461" customFormat="1" ht="12" customHeight="1" x14ac:dyDescent="0.15">
      <c r="A153" s="522" t="s">
        <v>1294</v>
      </c>
      <c r="B153" s="467">
        <v>42419</v>
      </c>
      <c r="C153" s="468" t="s">
        <v>3732</v>
      </c>
      <c r="D153" s="468" t="s">
        <v>3728</v>
      </c>
      <c r="E153" s="468" t="s">
        <v>3729</v>
      </c>
      <c r="F153" s="468" t="s">
        <v>595</v>
      </c>
      <c r="G153" s="466">
        <v>4</v>
      </c>
      <c r="H153" s="465">
        <v>8</v>
      </c>
      <c r="I153" s="466" t="s">
        <v>3730</v>
      </c>
      <c r="J153" s="466"/>
      <c r="K153" s="466">
        <v>8</v>
      </c>
      <c r="L153" s="506">
        <v>4</v>
      </c>
      <c r="M153" s="463">
        <v>18500</v>
      </c>
      <c r="N153" s="468" t="s">
        <v>4094</v>
      </c>
      <c r="O153" s="466">
        <v>6</v>
      </c>
      <c r="P153" s="523">
        <v>-4.25</v>
      </c>
      <c r="Q153" s="462">
        <v>1.1642361111111111E-3</v>
      </c>
      <c r="R153" s="463">
        <v>0</v>
      </c>
      <c r="S153" s="466"/>
      <c r="T153" s="524"/>
      <c r="W153" s="460"/>
      <c r="AY153" s="486" t="str">
        <f t="shared" si="6"/>
        <v/>
      </c>
      <c r="AZ153" s="487" t="str">
        <f t="shared" si="7"/>
        <v/>
      </c>
      <c r="CH153" s="459"/>
    </row>
    <row r="154" spans="1:90" s="461" customFormat="1" ht="12" customHeight="1" x14ac:dyDescent="0.15">
      <c r="A154" s="522" t="s">
        <v>3937</v>
      </c>
      <c r="B154" s="467">
        <v>42419</v>
      </c>
      <c r="C154" s="468" t="s">
        <v>3939</v>
      </c>
      <c r="D154" s="468" t="s">
        <v>3938</v>
      </c>
      <c r="E154" s="468" t="s">
        <v>3957</v>
      </c>
      <c r="F154" s="468" t="s">
        <v>3686</v>
      </c>
      <c r="G154" s="466">
        <v>1</v>
      </c>
      <c r="H154" s="465">
        <v>6</v>
      </c>
      <c r="I154" s="466"/>
      <c r="J154" s="466"/>
      <c r="K154" s="466">
        <v>5</v>
      </c>
      <c r="L154" s="464" t="s">
        <v>431</v>
      </c>
      <c r="M154" s="463">
        <v>8944</v>
      </c>
      <c r="N154" s="468" t="s">
        <v>3955</v>
      </c>
      <c r="O154" s="466">
        <v>2</v>
      </c>
      <c r="P154" s="523">
        <v>-2.75</v>
      </c>
      <c r="Q154" s="462">
        <v>8.4560185185185183E-4</v>
      </c>
      <c r="R154" s="463">
        <v>1879</v>
      </c>
      <c r="S154" s="466" t="s">
        <v>625</v>
      </c>
      <c r="T154" s="524"/>
      <c r="W154" s="460"/>
      <c r="AY154" s="486">
        <f t="shared" si="6"/>
        <v>1879</v>
      </c>
      <c r="AZ154" s="487" t="str">
        <f t="shared" si="7"/>
        <v/>
      </c>
      <c r="CH154" s="459"/>
    </row>
    <row r="155" spans="1:90" s="461" customFormat="1" ht="12" customHeight="1" x14ac:dyDescent="0.15">
      <c r="A155" s="522" t="s">
        <v>994</v>
      </c>
      <c r="B155" s="467">
        <v>42419</v>
      </c>
      <c r="C155" s="468" t="s">
        <v>3915</v>
      </c>
      <c r="D155" s="468" t="s">
        <v>3916</v>
      </c>
      <c r="E155" s="468" t="s">
        <v>4117</v>
      </c>
      <c r="F155" s="468" t="s">
        <v>680</v>
      </c>
      <c r="G155" s="466">
        <v>3</v>
      </c>
      <c r="H155" s="465">
        <v>6.5</v>
      </c>
      <c r="I155" s="466" t="s">
        <v>1360</v>
      </c>
      <c r="J155" s="466"/>
      <c r="K155" s="466">
        <v>7</v>
      </c>
      <c r="L155" s="506">
        <v>5</v>
      </c>
      <c r="M155" s="463">
        <v>7100</v>
      </c>
      <c r="N155" s="468" t="s">
        <v>3762</v>
      </c>
      <c r="O155" s="466">
        <v>2</v>
      </c>
      <c r="P155" s="523">
        <v>-0.75</v>
      </c>
      <c r="Q155" s="462">
        <v>9.277777777777778E-4</v>
      </c>
      <c r="R155" s="463">
        <v>1420</v>
      </c>
      <c r="S155" s="466"/>
      <c r="T155" s="524"/>
      <c r="W155" s="460"/>
      <c r="AY155" s="486" t="str">
        <f t="shared" si="6"/>
        <v/>
      </c>
      <c r="AZ155" s="487" t="str">
        <f t="shared" si="7"/>
        <v/>
      </c>
      <c r="CH155" s="459"/>
    </row>
    <row r="156" spans="1:90" s="461" customFormat="1" ht="12" customHeight="1" x14ac:dyDescent="0.15">
      <c r="A156" s="522" t="s">
        <v>2459</v>
      </c>
      <c r="B156" s="467">
        <v>42419</v>
      </c>
      <c r="C156" s="468" t="s">
        <v>3293</v>
      </c>
      <c r="D156" s="468" t="s">
        <v>3294</v>
      </c>
      <c r="E156" s="468" t="s">
        <v>4127</v>
      </c>
      <c r="F156" s="468" t="s">
        <v>993</v>
      </c>
      <c r="G156" s="466">
        <v>6</v>
      </c>
      <c r="H156" s="465">
        <v>6.5</v>
      </c>
      <c r="I156" s="466"/>
      <c r="J156" s="466"/>
      <c r="K156" s="466">
        <v>7</v>
      </c>
      <c r="L156" s="506">
        <v>3</v>
      </c>
      <c r="M156" s="463">
        <v>24000</v>
      </c>
      <c r="N156" s="468" t="s">
        <v>3225</v>
      </c>
      <c r="O156" s="466">
        <v>4</v>
      </c>
      <c r="P156" s="523">
        <v>-10.5</v>
      </c>
      <c r="Q156" s="462">
        <v>9.2893518518518531E-4</v>
      </c>
      <c r="R156" s="463">
        <v>1195</v>
      </c>
      <c r="S156" s="466"/>
      <c r="T156" s="524" t="s">
        <v>3755</v>
      </c>
      <c r="W156" s="460"/>
      <c r="AY156" s="486" t="str">
        <f t="shared" si="6"/>
        <v/>
      </c>
      <c r="AZ156" s="487" t="str">
        <f t="shared" si="7"/>
        <v/>
      </c>
      <c r="CH156" s="459"/>
    </row>
    <row r="157" spans="1:90" s="469" customFormat="1" ht="12" customHeight="1" x14ac:dyDescent="0.15">
      <c r="A157" s="471" t="s">
        <v>1529</v>
      </c>
      <c r="B157" s="472">
        <v>42420</v>
      </c>
      <c r="C157" s="471" t="s">
        <v>3617</v>
      </c>
      <c r="D157" s="471" t="s">
        <v>3618</v>
      </c>
      <c r="E157" s="471" t="s">
        <v>4118</v>
      </c>
      <c r="F157" s="471" t="s">
        <v>525</v>
      </c>
      <c r="G157" s="473">
        <v>8</v>
      </c>
      <c r="H157" s="474">
        <v>8</v>
      </c>
      <c r="I157" s="475"/>
      <c r="J157" s="475"/>
      <c r="K157" s="473">
        <v>9</v>
      </c>
      <c r="L157" s="458">
        <v>20</v>
      </c>
      <c r="M157" s="476">
        <v>58000</v>
      </c>
      <c r="N157" s="471" t="s">
        <v>3888</v>
      </c>
      <c r="O157" s="477" t="s">
        <v>431</v>
      </c>
      <c r="P157" s="478" t="s">
        <v>431</v>
      </c>
      <c r="Q157" s="479" t="s">
        <v>431</v>
      </c>
      <c r="R157" s="480" t="s">
        <v>431</v>
      </c>
      <c r="S157" s="477"/>
      <c r="T157" s="481" t="s">
        <v>3885</v>
      </c>
      <c r="U157" s="482"/>
      <c r="V157" s="482"/>
      <c r="W157" s="483"/>
      <c r="X157" s="482"/>
      <c r="Y157" s="482"/>
      <c r="Z157" s="482"/>
      <c r="AA157" s="482"/>
      <c r="AB157" s="482"/>
      <c r="AC157" s="482"/>
      <c r="AD157" s="482"/>
      <c r="AE157" s="482"/>
      <c r="AF157" s="482"/>
      <c r="AG157" s="482"/>
      <c r="AH157" s="482"/>
      <c r="AI157" s="482"/>
      <c r="AJ157" s="482"/>
      <c r="AK157" s="482"/>
      <c r="AL157" s="482"/>
      <c r="AM157" s="482"/>
      <c r="AN157" s="482"/>
      <c r="AO157" s="482"/>
      <c r="AP157" s="482"/>
      <c r="AQ157" s="482"/>
      <c r="AR157" s="482"/>
      <c r="AS157" s="482"/>
      <c r="AT157" s="482"/>
      <c r="AU157" s="482"/>
      <c r="AV157" s="482"/>
      <c r="AW157" s="482"/>
      <c r="AX157" s="482"/>
      <c r="AY157" s="486" t="str">
        <f t="shared" si="6"/>
        <v/>
      </c>
      <c r="AZ157" s="487" t="str">
        <f t="shared" si="7"/>
        <v/>
      </c>
      <c r="BA157" s="482"/>
      <c r="BB157" s="482"/>
      <c r="BC157" s="482"/>
      <c r="BD157" s="482"/>
      <c r="BE157" s="482"/>
      <c r="BF157" s="482"/>
      <c r="BG157" s="482"/>
      <c r="BH157" s="482"/>
      <c r="BI157" s="482"/>
      <c r="BJ157" s="482"/>
      <c r="BK157" s="482"/>
      <c r="BL157" s="482"/>
      <c r="BM157" s="482"/>
      <c r="BN157" s="482"/>
      <c r="BO157" s="482"/>
      <c r="BP157" s="482"/>
      <c r="BQ157" s="482"/>
      <c r="BR157" s="482"/>
      <c r="BS157" s="482"/>
      <c r="BT157" s="482"/>
      <c r="BU157" s="482"/>
      <c r="BV157" s="482"/>
      <c r="BW157" s="482"/>
      <c r="BX157" s="482"/>
      <c r="BY157" s="482"/>
      <c r="BZ157" s="482"/>
      <c r="CA157" s="482"/>
      <c r="CB157" s="482"/>
      <c r="CC157" s="482"/>
      <c r="CD157" s="482"/>
      <c r="CE157" s="482"/>
      <c r="CF157" s="482"/>
      <c r="CG157" s="482"/>
      <c r="CH157" s="484"/>
    </row>
    <row r="158" spans="1:90" s="461" customFormat="1" ht="12" customHeight="1" x14ac:dyDescent="0.15">
      <c r="A158" s="522" t="s">
        <v>2172</v>
      </c>
      <c r="B158" s="467">
        <v>42420</v>
      </c>
      <c r="C158" s="468" t="s">
        <v>3707</v>
      </c>
      <c r="D158" s="468" t="s">
        <v>3708</v>
      </c>
      <c r="E158" s="468" t="s">
        <v>4076</v>
      </c>
      <c r="F158" s="468" t="s">
        <v>4077</v>
      </c>
      <c r="G158" s="466">
        <v>8</v>
      </c>
      <c r="H158" s="465">
        <v>7</v>
      </c>
      <c r="I158" s="466"/>
      <c r="J158" s="466"/>
      <c r="K158" s="466">
        <v>6</v>
      </c>
      <c r="L158" s="506">
        <f>6/5</f>
        <v>1.2</v>
      </c>
      <c r="M158" s="463">
        <v>5000</v>
      </c>
      <c r="N158" s="468" t="s">
        <v>3739</v>
      </c>
      <c r="O158" s="466">
        <v>5</v>
      </c>
      <c r="P158" s="523">
        <v>-10</v>
      </c>
      <c r="Q158" s="462">
        <v>1.0282407407407408E-3</v>
      </c>
      <c r="R158" s="463">
        <v>125</v>
      </c>
      <c r="S158" s="466" t="s">
        <v>625</v>
      </c>
      <c r="T158" s="524" t="s">
        <v>4160</v>
      </c>
      <c r="W158" s="460"/>
      <c r="AY158" s="486">
        <f t="shared" si="6"/>
        <v>125</v>
      </c>
      <c r="AZ158" s="487" t="str">
        <f t="shared" si="7"/>
        <v/>
      </c>
      <c r="CH158" s="459"/>
    </row>
    <row r="159" spans="1:90" s="469" customFormat="1" ht="12" customHeight="1" x14ac:dyDescent="0.15">
      <c r="A159" s="444" t="s">
        <v>3825</v>
      </c>
      <c r="B159" s="445">
        <v>42421</v>
      </c>
      <c r="C159" s="446" t="s">
        <v>3826</v>
      </c>
      <c r="D159" s="446" t="s">
        <v>3827</v>
      </c>
      <c r="E159" s="446" t="s">
        <v>3700</v>
      </c>
      <c r="F159" s="446" t="s">
        <v>3686</v>
      </c>
      <c r="G159" s="447">
        <v>1</v>
      </c>
      <c r="H159" s="448">
        <v>6</v>
      </c>
      <c r="I159" s="447"/>
      <c r="J159" s="447"/>
      <c r="K159" s="447">
        <v>7</v>
      </c>
      <c r="L159" s="448" t="s">
        <v>431</v>
      </c>
      <c r="M159" s="450">
        <v>8944</v>
      </c>
      <c r="N159" s="446" t="s">
        <v>3955</v>
      </c>
      <c r="O159" s="447">
        <v>1</v>
      </c>
      <c r="P159" s="451">
        <v>3.5</v>
      </c>
      <c r="Q159" s="452">
        <v>8.2511574074074074E-4</v>
      </c>
      <c r="R159" s="450">
        <v>5368</v>
      </c>
      <c r="S159" s="447" t="s">
        <v>625</v>
      </c>
      <c r="T159" s="453"/>
      <c r="U159" s="454"/>
      <c r="V159" s="454"/>
      <c r="W159" s="455"/>
      <c r="X159" s="454"/>
      <c r="Y159" s="454"/>
      <c r="Z159" s="454"/>
      <c r="AA159" s="454"/>
      <c r="AB159" s="454"/>
      <c r="AC159" s="454"/>
      <c r="AD159" s="454"/>
      <c r="AE159" s="454"/>
      <c r="AF159" s="454"/>
      <c r="AG159" s="454"/>
      <c r="AH159" s="454"/>
      <c r="AI159" s="454"/>
      <c r="AJ159" s="454"/>
      <c r="AK159" s="454"/>
      <c r="AL159" s="454"/>
      <c r="AM159" s="454"/>
      <c r="AN159" s="454"/>
      <c r="AO159" s="454"/>
      <c r="AP159" s="454"/>
      <c r="AQ159" s="454"/>
      <c r="AR159" s="454"/>
      <c r="AS159" s="454"/>
      <c r="AT159" s="454"/>
      <c r="AU159" s="454"/>
      <c r="AV159" s="454"/>
      <c r="AW159" s="454"/>
      <c r="AX159" s="454"/>
      <c r="AY159" s="486">
        <f t="shared" si="6"/>
        <v>5368</v>
      </c>
      <c r="AZ159" s="487">
        <f t="shared" si="7"/>
        <v>1</v>
      </c>
      <c r="BA159" s="454"/>
      <c r="BB159" s="454"/>
      <c r="BC159" s="454"/>
      <c r="BD159" s="454"/>
      <c r="BE159" s="454"/>
      <c r="BF159" s="454"/>
      <c r="BG159" s="454"/>
      <c r="BH159" s="454"/>
      <c r="BI159" s="454"/>
      <c r="BJ159" s="454"/>
      <c r="BK159" s="454"/>
      <c r="BL159" s="454"/>
      <c r="BM159" s="454"/>
      <c r="BN159" s="454"/>
      <c r="BO159" s="454"/>
      <c r="BP159" s="454"/>
      <c r="BQ159" s="454"/>
      <c r="BR159" s="454"/>
      <c r="BS159" s="454"/>
      <c r="BT159" s="454"/>
      <c r="BU159" s="454"/>
      <c r="BV159" s="454"/>
      <c r="BW159" s="454"/>
      <c r="BX159" s="454"/>
      <c r="BY159" s="454"/>
      <c r="BZ159" s="454"/>
      <c r="CA159" s="454"/>
      <c r="CB159" s="454"/>
      <c r="CC159" s="454"/>
      <c r="CD159" s="454"/>
      <c r="CE159" s="454"/>
      <c r="CF159" s="454"/>
      <c r="CG159" s="454"/>
      <c r="CH159" s="456"/>
      <c r="CI159" s="454"/>
      <c r="CJ159" s="454"/>
      <c r="CK159" s="454"/>
      <c r="CL159" s="454"/>
    </row>
    <row r="160" spans="1:90" s="461" customFormat="1" ht="12" customHeight="1" x14ac:dyDescent="0.15">
      <c r="A160" s="522" t="s">
        <v>4011</v>
      </c>
      <c r="B160" s="467">
        <v>42421</v>
      </c>
      <c r="C160" s="468" t="s">
        <v>4018</v>
      </c>
      <c r="D160" s="468" t="s">
        <v>4017</v>
      </c>
      <c r="E160" s="468" t="s">
        <v>3699</v>
      </c>
      <c r="F160" s="468" t="s">
        <v>3686</v>
      </c>
      <c r="G160" s="466">
        <v>1</v>
      </c>
      <c r="H160" s="465">
        <v>6</v>
      </c>
      <c r="I160" s="466"/>
      <c r="J160" s="466"/>
      <c r="K160" s="466">
        <v>7</v>
      </c>
      <c r="L160" s="464" t="s">
        <v>431</v>
      </c>
      <c r="M160" s="463">
        <v>8944</v>
      </c>
      <c r="N160" s="468" t="s">
        <v>3955</v>
      </c>
      <c r="O160" s="466">
        <v>3</v>
      </c>
      <c r="P160" s="523">
        <v>-6.5</v>
      </c>
      <c r="Q160" s="462">
        <v>8.2511574074074074E-4</v>
      </c>
      <c r="R160" s="463">
        <v>1162</v>
      </c>
      <c r="S160" s="466" t="s">
        <v>625</v>
      </c>
      <c r="T160" s="524"/>
      <c r="W160" s="460"/>
      <c r="AY160" s="486">
        <f t="shared" si="6"/>
        <v>1162</v>
      </c>
      <c r="AZ160" s="487" t="str">
        <f t="shared" si="7"/>
        <v/>
      </c>
      <c r="CH160" s="459"/>
    </row>
    <row r="161" spans="1:90" s="461" customFormat="1" ht="12" customHeight="1" x14ac:dyDescent="0.15">
      <c r="A161" s="522" t="s">
        <v>3776</v>
      </c>
      <c r="B161" s="467">
        <v>42421</v>
      </c>
      <c r="C161" s="468" t="s">
        <v>3726</v>
      </c>
      <c r="D161" s="468" t="s">
        <v>3725</v>
      </c>
      <c r="E161" s="468" t="s">
        <v>3684</v>
      </c>
      <c r="F161" s="468" t="s">
        <v>3686</v>
      </c>
      <c r="G161" s="466">
        <v>2</v>
      </c>
      <c r="H161" s="465">
        <v>6.5</v>
      </c>
      <c r="I161" s="466"/>
      <c r="J161" s="466"/>
      <c r="K161" s="466">
        <v>8</v>
      </c>
      <c r="L161" s="464" t="s">
        <v>431</v>
      </c>
      <c r="M161" s="463">
        <v>7700</v>
      </c>
      <c r="N161" s="468" t="s">
        <v>3225</v>
      </c>
      <c r="O161" s="466">
        <v>6</v>
      </c>
      <c r="P161" s="523">
        <v>-13</v>
      </c>
      <c r="Q161" s="462">
        <v>1.0438657407407406E-3</v>
      </c>
      <c r="R161" s="463">
        <v>99</v>
      </c>
      <c r="S161" s="466" t="s">
        <v>625</v>
      </c>
      <c r="T161" s="524"/>
      <c r="W161" s="460"/>
      <c r="AY161" s="486">
        <f t="shared" si="6"/>
        <v>99</v>
      </c>
      <c r="AZ161" s="487" t="str">
        <f t="shared" si="7"/>
        <v/>
      </c>
      <c r="CH161" s="459"/>
    </row>
    <row r="162" spans="1:90" s="461" customFormat="1" ht="12" customHeight="1" x14ac:dyDescent="0.15">
      <c r="A162" s="522" t="s">
        <v>1793</v>
      </c>
      <c r="B162" s="467">
        <v>42421</v>
      </c>
      <c r="C162" s="468" t="s">
        <v>4138</v>
      </c>
      <c r="D162" s="468" t="s">
        <v>4139</v>
      </c>
      <c r="E162" s="468" t="s">
        <v>4140</v>
      </c>
      <c r="F162" s="468" t="s">
        <v>540</v>
      </c>
      <c r="G162" s="466">
        <v>8</v>
      </c>
      <c r="H162" s="465">
        <v>1</v>
      </c>
      <c r="I162" s="466" t="s">
        <v>3730</v>
      </c>
      <c r="J162" s="466"/>
      <c r="K162" s="466">
        <v>10</v>
      </c>
      <c r="L162" s="506">
        <v>4</v>
      </c>
      <c r="M162" s="463">
        <v>23000</v>
      </c>
      <c r="N162" s="468" t="s">
        <v>3890</v>
      </c>
      <c r="O162" s="466">
        <v>10</v>
      </c>
      <c r="P162" s="523">
        <v>-19.75</v>
      </c>
      <c r="Q162" s="462">
        <v>1.1104166666666667E-3</v>
      </c>
      <c r="R162" s="463">
        <v>200</v>
      </c>
      <c r="S162" s="466"/>
      <c r="T162" s="524" t="s">
        <v>4164</v>
      </c>
      <c r="W162" s="460"/>
      <c r="AY162" s="486" t="str">
        <f t="shared" si="6"/>
        <v/>
      </c>
      <c r="AZ162" s="487" t="str">
        <f t="shared" si="7"/>
        <v/>
      </c>
      <c r="CH162" s="459"/>
    </row>
    <row r="163" spans="1:90" s="461" customFormat="1" ht="12" customHeight="1" x14ac:dyDescent="0.15">
      <c r="A163" s="522" t="s">
        <v>4002</v>
      </c>
      <c r="B163" s="467">
        <v>42421</v>
      </c>
      <c r="C163" s="468" t="s">
        <v>3724</v>
      </c>
      <c r="D163" s="468" t="s">
        <v>3727</v>
      </c>
      <c r="E163" s="468" t="s">
        <v>4764</v>
      </c>
      <c r="F163" s="468" t="s">
        <v>3686</v>
      </c>
      <c r="G163" s="466">
        <v>6</v>
      </c>
      <c r="H163" s="465">
        <v>6.5</v>
      </c>
      <c r="I163" s="466"/>
      <c r="J163" s="466"/>
      <c r="K163" s="466">
        <v>10</v>
      </c>
      <c r="L163" s="464" t="s">
        <v>431</v>
      </c>
      <c r="M163" s="463">
        <v>8944</v>
      </c>
      <c r="N163" s="468" t="s">
        <v>3653</v>
      </c>
      <c r="O163" s="466">
        <v>7</v>
      </c>
      <c r="P163" s="523">
        <v>-11.25</v>
      </c>
      <c r="Q163" s="462">
        <v>9.3182870370370381E-4</v>
      </c>
      <c r="R163" s="463">
        <v>99</v>
      </c>
      <c r="S163" s="466" t="s">
        <v>625</v>
      </c>
      <c r="T163" s="524"/>
      <c r="W163" s="460"/>
      <c r="AY163" s="486">
        <f t="shared" si="6"/>
        <v>99</v>
      </c>
      <c r="AZ163" s="487" t="str">
        <f t="shared" si="7"/>
        <v/>
      </c>
      <c r="CH163" s="459"/>
    </row>
    <row r="164" spans="1:90" s="461" customFormat="1" ht="12" customHeight="1" x14ac:dyDescent="0.15">
      <c r="A164" s="522" t="s">
        <v>36</v>
      </c>
      <c r="B164" s="467">
        <v>42425</v>
      </c>
      <c r="C164" s="468" t="s">
        <v>4141</v>
      </c>
      <c r="D164" s="468" t="s">
        <v>4142</v>
      </c>
      <c r="E164" s="468" t="s">
        <v>4149</v>
      </c>
      <c r="F164" s="468" t="s">
        <v>439</v>
      </c>
      <c r="G164" s="466">
        <v>7</v>
      </c>
      <c r="H164" s="465">
        <v>6</v>
      </c>
      <c r="I164" s="466"/>
      <c r="J164" s="466"/>
      <c r="K164" s="466">
        <v>10</v>
      </c>
      <c r="L164" s="506">
        <v>15</v>
      </c>
      <c r="M164" s="463">
        <v>24000</v>
      </c>
      <c r="N164" s="468" t="s">
        <v>4150</v>
      </c>
      <c r="O164" s="466">
        <v>5</v>
      </c>
      <c r="P164" s="523">
        <v>-3.5</v>
      </c>
      <c r="Q164" s="462">
        <v>8.3275462962962958E-4</v>
      </c>
      <c r="R164" s="463">
        <v>720</v>
      </c>
      <c r="S164" s="466"/>
      <c r="T164" s="524" t="s">
        <v>4183</v>
      </c>
      <c r="W164" s="460"/>
      <c r="AY164" s="486" t="str">
        <f t="shared" si="6"/>
        <v/>
      </c>
      <c r="AZ164" s="487" t="str">
        <f t="shared" si="7"/>
        <v/>
      </c>
      <c r="CH164" s="459"/>
    </row>
    <row r="165" spans="1:90" s="461" customFormat="1" ht="12" customHeight="1" x14ac:dyDescent="0.15">
      <c r="A165" s="522" t="s">
        <v>3362</v>
      </c>
      <c r="B165" s="467">
        <v>42427</v>
      </c>
      <c r="C165" s="468" t="s">
        <v>2521</v>
      </c>
      <c r="D165" s="468" t="s">
        <v>3098</v>
      </c>
      <c r="E165" s="468" t="s">
        <v>4179</v>
      </c>
      <c r="F165" s="468" t="s">
        <v>3644</v>
      </c>
      <c r="G165" s="466">
        <v>7</v>
      </c>
      <c r="H165" s="465">
        <v>12</v>
      </c>
      <c r="I165" s="466"/>
      <c r="J165" s="466"/>
      <c r="K165" s="466">
        <v>16</v>
      </c>
      <c r="L165" s="464" t="s">
        <v>431</v>
      </c>
      <c r="M165" s="463">
        <v>32000</v>
      </c>
      <c r="N165" s="468" t="s">
        <v>4169</v>
      </c>
      <c r="O165" s="466">
        <v>7</v>
      </c>
      <c r="P165" s="523">
        <v>-19</v>
      </c>
      <c r="Q165" s="462">
        <v>1.7871527777777779E-3</v>
      </c>
      <c r="R165" s="463">
        <v>0</v>
      </c>
      <c r="S165" s="466" t="s">
        <v>625</v>
      </c>
      <c r="T165" s="524"/>
      <c r="W165" s="460"/>
      <c r="AY165" s="486">
        <f t="shared" si="6"/>
        <v>0</v>
      </c>
      <c r="AZ165" s="487" t="str">
        <f t="shared" si="7"/>
        <v/>
      </c>
      <c r="CH165" s="459"/>
    </row>
    <row r="166" spans="1:90" s="469" customFormat="1" ht="12" customHeight="1" x14ac:dyDescent="0.15">
      <c r="A166" s="444" t="s">
        <v>994</v>
      </c>
      <c r="B166" s="445">
        <v>42427</v>
      </c>
      <c r="C166" s="446" t="s">
        <v>3915</v>
      </c>
      <c r="D166" s="446" t="s">
        <v>3916</v>
      </c>
      <c r="E166" s="446" t="s">
        <v>3917</v>
      </c>
      <c r="F166" s="446" t="s">
        <v>3918</v>
      </c>
      <c r="G166" s="447">
        <v>3</v>
      </c>
      <c r="H166" s="448">
        <v>6</v>
      </c>
      <c r="I166" s="447"/>
      <c r="J166" s="447"/>
      <c r="K166" s="447">
        <v>8</v>
      </c>
      <c r="L166" s="449">
        <v>2</v>
      </c>
      <c r="M166" s="450">
        <v>10700</v>
      </c>
      <c r="N166" s="446" t="s">
        <v>3762</v>
      </c>
      <c r="O166" s="447">
        <v>1</v>
      </c>
      <c r="P166" s="451">
        <v>1.5</v>
      </c>
      <c r="Q166" s="452">
        <v>8.475694444444443E-4</v>
      </c>
      <c r="R166" s="450">
        <v>6420</v>
      </c>
      <c r="S166" s="447"/>
      <c r="T166" s="453" t="s">
        <v>3714</v>
      </c>
      <c r="U166" s="454"/>
      <c r="V166" s="454"/>
      <c r="W166" s="455"/>
      <c r="X166" s="454"/>
      <c r="Y166" s="454"/>
      <c r="Z166" s="454"/>
      <c r="AA166" s="454"/>
      <c r="AB166" s="454"/>
      <c r="AC166" s="454"/>
      <c r="AD166" s="454"/>
      <c r="AE166" s="454"/>
      <c r="AF166" s="454"/>
      <c r="AG166" s="454"/>
      <c r="AH166" s="454"/>
      <c r="AI166" s="454"/>
      <c r="AJ166" s="454"/>
      <c r="AK166" s="454"/>
      <c r="AL166" s="454"/>
      <c r="AM166" s="454"/>
      <c r="AN166" s="454"/>
      <c r="AO166" s="454"/>
      <c r="AP166" s="454"/>
      <c r="AQ166" s="454"/>
      <c r="AR166" s="454"/>
      <c r="AS166" s="454"/>
      <c r="AT166" s="454"/>
      <c r="AU166" s="454"/>
      <c r="AV166" s="454"/>
      <c r="AW166" s="454"/>
      <c r="AX166" s="454"/>
      <c r="AY166" s="486" t="str">
        <f t="shared" si="6"/>
        <v/>
      </c>
      <c r="AZ166" s="487">
        <f t="shared" ref="AZ166:AZ197" si="8">IF(F166="Pleasant Meadows","",IF(L166="","",IF(O166="--","",IF(O166=1,1,""))))</f>
        <v>1</v>
      </c>
      <c r="BA166" s="454"/>
      <c r="BB166" s="454"/>
      <c r="BC166" s="454"/>
      <c r="BD166" s="454"/>
      <c r="BE166" s="454"/>
      <c r="BF166" s="454"/>
      <c r="BG166" s="454"/>
      <c r="BH166" s="454"/>
      <c r="BI166" s="454"/>
      <c r="BJ166" s="454"/>
      <c r="BK166" s="454"/>
      <c r="BL166" s="454"/>
      <c r="BM166" s="454"/>
      <c r="BN166" s="454"/>
      <c r="BO166" s="454"/>
      <c r="BP166" s="454"/>
      <c r="BQ166" s="454"/>
      <c r="BR166" s="454"/>
      <c r="BS166" s="454"/>
      <c r="BT166" s="454"/>
      <c r="BU166" s="454"/>
      <c r="BV166" s="454"/>
      <c r="BW166" s="454"/>
      <c r="BX166" s="454"/>
      <c r="BY166" s="454"/>
      <c r="BZ166" s="454"/>
      <c r="CA166" s="454"/>
      <c r="CB166" s="454"/>
      <c r="CC166" s="454"/>
      <c r="CD166" s="454"/>
      <c r="CE166" s="454"/>
      <c r="CF166" s="454"/>
      <c r="CG166" s="454"/>
      <c r="CH166" s="456"/>
      <c r="CI166" s="454"/>
      <c r="CJ166" s="454"/>
      <c r="CK166" s="454"/>
      <c r="CL166" s="454"/>
    </row>
    <row r="167" spans="1:90" s="469" customFormat="1" ht="12" customHeight="1" x14ac:dyDescent="0.15">
      <c r="A167" s="444" t="s">
        <v>3154</v>
      </c>
      <c r="B167" s="445">
        <v>42427</v>
      </c>
      <c r="C167" s="446" t="s">
        <v>4170</v>
      </c>
      <c r="D167" s="446" t="s">
        <v>3705</v>
      </c>
      <c r="E167" s="446" t="s">
        <v>3856</v>
      </c>
      <c r="F167" s="446" t="s">
        <v>4171</v>
      </c>
      <c r="G167" s="447">
        <v>5</v>
      </c>
      <c r="H167" s="448">
        <v>5</v>
      </c>
      <c r="I167" s="447"/>
      <c r="J167" s="447"/>
      <c r="K167" s="447">
        <v>5</v>
      </c>
      <c r="L167" s="449">
        <v>10</v>
      </c>
      <c r="M167" s="450">
        <v>50000</v>
      </c>
      <c r="N167" s="446" t="s">
        <v>3879</v>
      </c>
      <c r="O167" s="447">
        <v>1</v>
      </c>
      <c r="P167" s="451">
        <v>1.5</v>
      </c>
      <c r="Q167" s="452">
        <v>6.7592592592592585E-4</v>
      </c>
      <c r="R167" s="450">
        <v>42000</v>
      </c>
      <c r="S167" s="447"/>
      <c r="T167" s="453" t="s">
        <v>4198</v>
      </c>
      <c r="U167" s="454"/>
      <c r="V167" s="454"/>
      <c r="W167" s="455"/>
      <c r="X167" s="454"/>
      <c r="Y167" s="454"/>
      <c r="Z167" s="454"/>
      <c r="AA167" s="454"/>
      <c r="AB167" s="454"/>
      <c r="AC167" s="454"/>
      <c r="AD167" s="454"/>
      <c r="AE167" s="454"/>
      <c r="AF167" s="454"/>
      <c r="AG167" s="454"/>
      <c r="AH167" s="454"/>
      <c r="AI167" s="454"/>
      <c r="AJ167" s="454"/>
      <c r="AK167" s="454"/>
      <c r="AL167" s="454"/>
      <c r="AM167" s="454"/>
      <c r="AN167" s="454"/>
      <c r="AO167" s="454"/>
      <c r="AP167" s="454"/>
      <c r="AQ167" s="454"/>
      <c r="AR167" s="454"/>
      <c r="AS167" s="454"/>
      <c r="AT167" s="454"/>
      <c r="AU167" s="454"/>
      <c r="AV167" s="454"/>
      <c r="AW167" s="454"/>
      <c r="AX167" s="454"/>
      <c r="AY167" s="486" t="str">
        <f t="shared" si="6"/>
        <v/>
      </c>
      <c r="AZ167" s="487">
        <f t="shared" si="8"/>
        <v>1</v>
      </c>
      <c r="BA167" s="454"/>
      <c r="BB167" s="454"/>
      <c r="BC167" s="454"/>
      <c r="BD167" s="454"/>
      <c r="BE167" s="454"/>
      <c r="BF167" s="454"/>
      <c r="BG167" s="454"/>
      <c r="BH167" s="454"/>
      <c r="BI167" s="454"/>
      <c r="BJ167" s="454"/>
      <c r="BK167" s="454"/>
      <c r="BL167" s="454"/>
      <c r="BM167" s="454"/>
      <c r="BN167" s="454"/>
      <c r="BO167" s="454"/>
      <c r="BP167" s="454"/>
      <c r="BQ167" s="454"/>
      <c r="BR167" s="454"/>
      <c r="BS167" s="454"/>
      <c r="BT167" s="454"/>
      <c r="BU167" s="454"/>
      <c r="BV167" s="454"/>
      <c r="BW167" s="454"/>
      <c r="BX167" s="454"/>
      <c r="BY167" s="454"/>
      <c r="BZ167" s="454"/>
      <c r="CA167" s="454"/>
      <c r="CB167" s="454"/>
      <c r="CC167" s="454"/>
      <c r="CD167" s="454"/>
      <c r="CE167" s="454"/>
      <c r="CF167" s="454"/>
      <c r="CG167" s="454"/>
      <c r="CH167" s="456"/>
      <c r="CI167" s="454"/>
      <c r="CJ167" s="454"/>
      <c r="CK167" s="454"/>
      <c r="CL167" s="454"/>
    </row>
    <row r="168" spans="1:90" s="469" customFormat="1" ht="12" customHeight="1" x14ac:dyDescent="0.15">
      <c r="A168" s="444" t="s">
        <v>4174</v>
      </c>
      <c r="B168" s="445">
        <v>42427</v>
      </c>
      <c r="C168" s="446" t="s">
        <v>2564</v>
      </c>
      <c r="D168" s="446" t="s">
        <v>4176</v>
      </c>
      <c r="E168" s="446" t="s">
        <v>3695</v>
      </c>
      <c r="F168" s="446" t="s">
        <v>3685</v>
      </c>
      <c r="G168" s="447">
        <v>7</v>
      </c>
      <c r="H168" s="448">
        <v>5.5</v>
      </c>
      <c r="I168" s="447"/>
      <c r="J168" s="447"/>
      <c r="K168" s="447">
        <v>10</v>
      </c>
      <c r="L168" s="448" t="s">
        <v>431</v>
      </c>
      <c r="M168" s="450">
        <v>3600</v>
      </c>
      <c r="N168" s="446" t="s">
        <v>3348</v>
      </c>
      <c r="O168" s="447">
        <v>1</v>
      </c>
      <c r="P168" s="451">
        <v>2.5</v>
      </c>
      <c r="Q168" s="452">
        <v>7.8043981481481465E-4</v>
      </c>
      <c r="R168" s="450">
        <v>2003</v>
      </c>
      <c r="S168" s="447" t="s">
        <v>625</v>
      </c>
      <c r="T168" s="453" t="s">
        <v>4198</v>
      </c>
      <c r="U168" s="454"/>
      <c r="V168" s="454"/>
      <c r="W168" s="455"/>
      <c r="X168" s="454"/>
      <c r="Y168" s="454"/>
      <c r="Z168" s="454"/>
      <c r="AA168" s="454"/>
      <c r="AB168" s="454"/>
      <c r="AC168" s="454"/>
      <c r="AD168" s="454"/>
      <c r="AE168" s="454"/>
      <c r="AF168" s="454"/>
      <c r="AG168" s="454"/>
      <c r="AH168" s="454"/>
      <c r="AI168" s="454"/>
      <c r="AJ168" s="454"/>
      <c r="AK168" s="454"/>
      <c r="AL168" s="454"/>
      <c r="AM168" s="454"/>
      <c r="AN168" s="454"/>
      <c r="AO168" s="454"/>
      <c r="AP168" s="454"/>
      <c r="AQ168" s="454"/>
      <c r="AR168" s="454"/>
      <c r="AS168" s="454"/>
      <c r="AT168" s="454"/>
      <c r="AU168" s="454"/>
      <c r="AV168" s="454"/>
      <c r="AW168" s="454"/>
      <c r="AX168" s="454"/>
      <c r="AY168" s="486">
        <f t="shared" si="6"/>
        <v>2003</v>
      </c>
      <c r="AZ168" s="487">
        <f t="shared" si="8"/>
        <v>1</v>
      </c>
      <c r="BA168" s="454"/>
      <c r="BB168" s="454"/>
      <c r="BC168" s="454"/>
      <c r="BD168" s="454"/>
      <c r="BE168" s="454"/>
      <c r="BF168" s="454"/>
      <c r="BG168" s="454"/>
      <c r="BH168" s="454"/>
      <c r="BI168" s="454"/>
      <c r="BJ168" s="454"/>
      <c r="BK168" s="454"/>
      <c r="BL168" s="454"/>
      <c r="BM168" s="454"/>
      <c r="BN168" s="454"/>
      <c r="BO168" s="454"/>
      <c r="BP168" s="454"/>
      <c r="BQ168" s="454"/>
      <c r="BR168" s="454"/>
      <c r="BS168" s="454"/>
      <c r="BT168" s="454"/>
      <c r="BU168" s="454"/>
      <c r="BV168" s="454"/>
      <c r="BW168" s="454"/>
      <c r="BX168" s="454"/>
      <c r="BY168" s="454"/>
      <c r="BZ168" s="454"/>
      <c r="CA168" s="454"/>
      <c r="CB168" s="454"/>
      <c r="CC168" s="454"/>
      <c r="CD168" s="454"/>
      <c r="CE168" s="454"/>
      <c r="CF168" s="454"/>
      <c r="CG168" s="454"/>
      <c r="CH168" s="456"/>
      <c r="CI168" s="454"/>
      <c r="CJ168" s="454"/>
      <c r="CK168" s="454"/>
      <c r="CL168" s="454"/>
    </row>
    <row r="169" spans="1:90" s="469" customFormat="1" ht="12" customHeight="1" x14ac:dyDescent="0.15">
      <c r="A169" s="444" t="s">
        <v>1529</v>
      </c>
      <c r="B169" s="445">
        <v>42427</v>
      </c>
      <c r="C169" s="446" t="s">
        <v>3617</v>
      </c>
      <c r="D169" s="446" t="s">
        <v>3618</v>
      </c>
      <c r="E169" s="446" t="s">
        <v>4184</v>
      </c>
      <c r="F169" s="446" t="s">
        <v>525</v>
      </c>
      <c r="G169" s="447">
        <v>8</v>
      </c>
      <c r="H169" s="448">
        <v>8.5</v>
      </c>
      <c r="I169" s="447"/>
      <c r="J169" s="447"/>
      <c r="K169" s="447">
        <v>6</v>
      </c>
      <c r="L169" s="449">
        <v>20</v>
      </c>
      <c r="M169" s="450">
        <v>47000</v>
      </c>
      <c r="N169" s="446" t="s">
        <v>3971</v>
      </c>
      <c r="O169" s="447">
        <v>1</v>
      </c>
      <c r="P169" s="451" t="s">
        <v>4203</v>
      </c>
      <c r="Q169" s="452" t="s">
        <v>4202</v>
      </c>
      <c r="R169" s="450">
        <v>28200</v>
      </c>
      <c r="S169" s="447"/>
      <c r="T169" s="453"/>
      <c r="U169" s="454"/>
      <c r="V169" s="454"/>
      <c r="W169" s="455"/>
      <c r="X169" s="454"/>
      <c r="Y169" s="454"/>
      <c r="Z169" s="454"/>
      <c r="AA169" s="454"/>
      <c r="AB169" s="454"/>
      <c r="AC169" s="454"/>
      <c r="AD169" s="454"/>
      <c r="AE169" s="454"/>
      <c r="AF169" s="454"/>
      <c r="AG169" s="454"/>
      <c r="AH169" s="454"/>
      <c r="AI169" s="454"/>
      <c r="AJ169" s="454"/>
      <c r="AK169" s="454"/>
      <c r="AL169" s="454"/>
      <c r="AM169" s="454"/>
      <c r="AN169" s="454"/>
      <c r="AO169" s="454"/>
      <c r="AP169" s="454"/>
      <c r="AQ169" s="454"/>
      <c r="AR169" s="454"/>
      <c r="AS169" s="454"/>
      <c r="AT169" s="454"/>
      <c r="AU169" s="454"/>
      <c r="AV169" s="454"/>
      <c r="AW169" s="454"/>
      <c r="AX169" s="454"/>
      <c r="AY169" s="486" t="str">
        <f t="shared" si="6"/>
        <v/>
      </c>
      <c r="AZ169" s="487">
        <f t="shared" si="8"/>
        <v>1</v>
      </c>
      <c r="BA169" s="454"/>
      <c r="BB169" s="454"/>
      <c r="BC169" s="454"/>
      <c r="BD169" s="454"/>
      <c r="BE169" s="454"/>
      <c r="BF169" s="454"/>
      <c r="BG169" s="454"/>
      <c r="BH169" s="454"/>
      <c r="BI169" s="454"/>
      <c r="BJ169" s="454"/>
      <c r="BK169" s="454"/>
      <c r="BL169" s="454"/>
      <c r="BM169" s="454"/>
      <c r="BN169" s="454"/>
      <c r="BO169" s="454"/>
      <c r="BP169" s="454"/>
      <c r="BQ169" s="454"/>
      <c r="BR169" s="454"/>
      <c r="BS169" s="454"/>
      <c r="BT169" s="454"/>
      <c r="BU169" s="454"/>
      <c r="BV169" s="454"/>
      <c r="BW169" s="454"/>
      <c r="BX169" s="454"/>
      <c r="BY169" s="454"/>
      <c r="BZ169" s="454"/>
      <c r="CA169" s="454"/>
      <c r="CB169" s="454"/>
      <c r="CC169" s="454"/>
      <c r="CD169" s="454"/>
      <c r="CE169" s="454"/>
      <c r="CF169" s="454"/>
      <c r="CG169" s="454"/>
      <c r="CH169" s="456"/>
      <c r="CI169" s="454"/>
      <c r="CJ169" s="454"/>
      <c r="CK169" s="454"/>
      <c r="CL169" s="454"/>
    </row>
    <row r="170" spans="1:90" s="461" customFormat="1" ht="12" customHeight="1" x14ac:dyDescent="0.15">
      <c r="A170" s="522" t="s">
        <v>1943</v>
      </c>
      <c r="B170" s="467">
        <v>42427</v>
      </c>
      <c r="C170" s="468" t="s">
        <v>3736</v>
      </c>
      <c r="D170" s="468" t="s">
        <v>3737</v>
      </c>
      <c r="E170" s="468" t="s">
        <v>4212</v>
      </c>
      <c r="F170" s="468" t="s">
        <v>595</v>
      </c>
      <c r="G170" s="466">
        <v>9</v>
      </c>
      <c r="H170" s="465">
        <v>8</v>
      </c>
      <c r="I170" s="466" t="s">
        <v>3730</v>
      </c>
      <c r="J170" s="466"/>
      <c r="K170" s="466">
        <v>12</v>
      </c>
      <c r="L170" s="506">
        <v>12</v>
      </c>
      <c r="M170" s="463">
        <v>60000</v>
      </c>
      <c r="N170" s="468" t="s">
        <v>4119</v>
      </c>
      <c r="O170" s="466">
        <v>2</v>
      </c>
      <c r="P170" s="523">
        <v>-1.5</v>
      </c>
      <c r="Q170" s="462">
        <v>1.1134259259259259E-3</v>
      </c>
      <c r="R170" s="463">
        <v>12000</v>
      </c>
      <c r="S170" s="466"/>
      <c r="T170" s="524" t="s">
        <v>4213</v>
      </c>
      <c r="W170" s="460"/>
      <c r="AY170" s="486" t="str">
        <f t="shared" si="6"/>
        <v/>
      </c>
      <c r="AZ170" s="487" t="str">
        <f t="shared" si="8"/>
        <v/>
      </c>
      <c r="CH170" s="459"/>
    </row>
    <row r="171" spans="1:90" s="461" customFormat="1" ht="12" customHeight="1" x14ac:dyDescent="0.15">
      <c r="A171" s="522" t="s">
        <v>3777</v>
      </c>
      <c r="B171" s="467">
        <v>42428</v>
      </c>
      <c r="C171" s="468" t="s">
        <v>3781</v>
      </c>
      <c r="D171" s="468" t="s">
        <v>3779</v>
      </c>
      <c r="E171" s="468" t="s">
        <v>3966</v>
      </c>
      <c r="F171" s="468" t="s">
        <v>3775</v>
      </c>
      <c r="G171" s="466">
        <v>2</v>
      </c>
      <c r="H171" s="465">
        <v>6</v>
      </c>
      <c r="I171" s="466" t="s">
        <v>1360</v>
      </c>
      <c r="J171" s="466"/>
      <c r="K171" s="466">
        <v>14</v>
      </c>
      <c r="L171" s="464" t="s">
        <v>431</v>
      </c>
      <c r="M171" s="463">
        <v>52529</v>
      </c>
      <c r="N171" s="457" t="s">
        <v>3778</v>
      </c>
      <c r="O171" s="466">
        <v>12</v>
      </c>
      <c r="P171" s="523">
        <v>-10</v>
      </c>
      <c r="Q171" s="462">
        <v>8.155092592592592E-4</v>
      </c>
      <c r="R171" s="463">
        <v>0</v>
      </c>
      <c r="S171" s="466" t="s">
        <v>3983</v>
      </c>
      <c r="T171" s="524"/>
      <c r="W171" s="460"/>
      <c r="AY171" s="486">
        <f t="shared" si="6"/>
        <v>0</v>
      </c>
      <c r="AZ171" s="487" t="str">
        <f t="shared" si="8"/>
        <v/>
      </c>
      <c r="CH171" s="459"/>
    </row>
    <row r="172" spans="1:90" s="461" customFormat="1" ht="12" customHeight="1" x14ac:dyDescent="0.15">
      <c r="A172" s="522" t="s">
        <v>4175</v>
      </c>
      <c r="B172" s="467">
        <v>42428</v>
      </c>
      <c r="C172" s="468" t="s">
        <v>2605</v>
      </c>
      <c r="D172" s="468" t="s">
        <v>4177</v>
      </c>
      <c r="E172" s="468" t="s">
        <v>4178</v>
      </c>
      <c r="F172" s="468" t="s">
        <v>3686</v>
      </c>
      <c r="G172" s="466">
        <v>5</v>
      </c>
      <c r="H172" s="465">
        <v>5.5</v>
      </c>
      <c r="I172" s="466"/>
      <c r="J172" s="466"/>
      <c r="K172" s="466">
        <v>10</v>
      </c>
      <c r="L172" s="464" t="s">
        <v>431</v>
      </c>
      <c r="M172" s="463">
        <v>6200</v>
      </c>
      <c r="N172" s="468" t="s">
        <v>3348</v>
      </c>
      <c r="O172" s="466">
        <v>7</v>
      </c>
      <c r="P172" s="523">
        <v>-7.5</v>
      </c>
      <c r="Q172" s="462">
        <v>9.0949074074074077E-4</v>
      </c>
      <c r="R172" s="463">
        <v>99</v>
      </c>
      <c r="S172" s="466"/>
      <c r="T172" s="524"/>
      <c r="W172" s="460"/>
      <c r="AY172" s="486" t="str">
        <f t="shared" si="6"/>
        <v/>
      </c>
      <c r="AZ172" s="487" t="str">
        <f t="shared" si="8"/>
        <v/>
      </c>
      <c r="CH172" s="459"/>
    </row>
    <row r="173" spans="1:90" s="461" customFormat="1" ht="12" customHeight="1" x14ac:dyDescent="0.15">
      <c r="A173" s="522" t="s">
        <v>3935</v>
      </c>
      <c r="B173" s="467">
        <v>42428</v>
      </c>
      <c r="C173" s="468" t="s">
        <v>2546</v>
      </c>
      <c r="D173" s="468" t="s">
        <v>3936</v>
      </c>
      <c r="E173" s="468" t="s">
        <v>3959</v>
      </c>
      <c r="F173" s="468" t="s">
        <v>3686</v>
      </c>
      <c r="G173" s="466">
        <v>9</v>
      </c>
      <c r="H173" s="465">
        <v>6</v>
      </c>
      <c r="I173" s="466"/>
      <c r="J173" s="466"/>
      <c r="K173" s="466">
        <v>11</v>
      </c>
      <c r="L173" s="464" t="s">
        <v>431</v>
      </c>
      <c r="M173" s="463">
        <v>5870</v>
      </c>
      <c r="N173" s="468" t="s">
        <v>3653</v>
      </c>
      <c r="O173" s="466">
        <v>7</v>
      </c>
      <c r="P173" s="523">
        <v>-11</v>
      </c>
      <c r="Q173" s="462">
        <v>8.4108796296296308E-4</v>
      </c>
      <c r="R173" s="463">
        <v>99</v>
      </c>
      <c r="S173" s="466"/>
      <c r="T173" s="524"/>
      <c r="W173" s="460"/>
      <c r="AY173" s="486" t="str">
        <f t="shared" si="6"/>
        <v/>
      </c>
      <c r="AZ173" s="487" t="str">
        <f t="shared" si="8"/>
        <v/>
      </c>
      <c r="CH173" s="459"/>
    </row>
    <row r="174" spans="1:90" s="469" customFormat="1" ht="12" customHeight="1" x14ac:dyDescent="0.15">
      <c r="A174" s="444" t="s">
        <v>3944</v>
      </c>
      <c r="B174" s="445">
        <v>42428</v>
      </c>
      <c r="C174" s="446" t="s">
        <v>3949</v>
      </c>
      <c r="D174" s="446" t="s">
        <v>3945</v>
      </c>
      <c r="E174" s="446" t="s">
        <v>3848</v>
      </c>
      <c r="F174" s="446" t="s">
        <v>3686</v>
      </c>
      <c r="G174" s="447">
        <v>10</v>
      </c>
      <c r="H174" s="448">
        <v>8</v>
      </c>
      <c r="I174" s="447"/>
      <c r="J174" s="447"/>
      <c r="K174" s="447">
        <v>12</v>
      </c>
      <c r="L174" s="448" t="s">
        <v>431</v>
      </c>
      <c r="M174" s="450">
        <v>7490</v>
      </c>
      <c r="N174" s="446" t="s">
        <v>3653</v>
      </c>
      <c r="O174" s="447">
        <v>1</v>
      </c>
      <c r="P174" s="451">
        <v>1.5</v>
      </c>
      <c r="Q174" s="452">
        <v>1.1331018518518519E-3</v>
      </c>
      <c r="R174" s="450">
        <v>4472</v>
      </c>
      <c r="S174" s="447"/>
      <c r="T174" s="453"/>
      <c r="U174" s="454"/>
      <c r="V174" s="454"/>
      <c r="W174" s="455"/>
      <c r="X174" s="454"/>
      <c r="Y174" s="454"/>
      <c r="Z174" s="454"/>
      <c r="AA174" s="454"/>
      <c r="AB174" s="454"/>
      <c r="AC174" s="454"/>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4"/>
      <c r="AY174" s="486" t="str">
        <f t="shared" si="6"/>
        <v/>
      </c>
      <c r="AZ174" s="487">
        <f t="shared" si="8"/>
        <v>1</v>
      </c>
      <c r="BA174" s="454"/>
      <c r="BB174" s="454"/>
      <c r="BC174" s="454"/>
      <c r="BD174" s="454"/>
      <c r="BE174" s="454"/>
      <c r="BF174" s="454"/>
      <c r="BG174" s="454"/>
      <c r="BH174" s="454"/>
      <c r="BI174" s="454"/>
      <c r="BJ174" s="454"/>
      <c r="BK174" s="454"/>
      <c r="BL174" s="454"/>
      <c r="BM174" s="454"/>
      <c r="BN174" s="454"/>
      <c r="BO174" s="454"/>
      <c r="BP174" s="454"/>
      <c r="BQ174" s="454"/>
      <c r="BR174" s="454"/>
      <c r="BS174" s="454"/>
      <c r="BT174" s="454"/>
      <c r="BU174" s="454"/>
      <c r="BV174" s="454"/>
      <c r="BW174" s="454"/>
      <c r="BX174" s="454"/>
      <c r="BY174" s="454"/>
      <c r="BZ174" s="454"/>
      <c r="CA174" s="454"/>
      <c r="CB174" s="454"/>
      <c r="CC174" s="454"/>
      <c r="CD174" s="454"/>
      <c r="CE174" s="454"/>
      <c r="CF174" s="454"/>
      <c r="CG174" s="454"/>
      <c r="CH174" s="456"/>
      <c r="CI174" s="454"/>
      <c r="CJ174" s="454"/>
      <c r="CK174" s="454"/>
      <c r="CL174" s="454"/>
    </row>
    <row r="175" spans="1:90" s="461" customFormat="1" ht="12" customHeight="1" x14ac:dyDescent="0.15">
      <c r="A175" s="522" t="s">
        <v>3903</v>
      </c>
      <c r="B175" s="467">
        <v>42428</v>
      </c>
      <c r="C175" s="468" t="s">
        <v>3904</v>
      </c>
      <c r="D175" s="468" t="s">
        <v>3905</v>
      </c>
      <c r="E175" s="468" t="s">
        <v>3700</v>
      </c>
      <c r="F175" s="468" t="s">
        <v>3686</v>
      </c>
      <c r="G175" s="466">
        <v>11</v>
      </c>
      <c r="H175" s="465">
        <v>6</v>
      </c>
      <c r="I175" s="466"/>
      <c r="J175" s="466"/>
      <c r="K175" s="466">
        <v>14</v>
      </c>
      <c r="L175" s="464" t="s">
        <v>431</v>
      </c>
      <c r="M175" s="463">
        <v>6883</v>
      </c>
      <c r="N175" s="468" t="s">
        <v>3225</v>
      </c>
      <c r="O175" s="466">
        <v>2</v>
      </c>
      <c r="P175" s="523">
        <v>-1.75</v>
      </c>
      <c r="Q175" s="462">
        <v>8.2928240740740738E-4</v>
      </c>
      <c r="R175" s="463">
        <v>1439</v>
      </c>
      <c r="S175" s="466"/>
      <c r="T175" s="524"/>
      <c r="W175" s="460"/>
      <c r="AY175" s="486" t="str">
        <f t="shared" si="6"/>
        <v/>
      </c>
      <c r="AZ175" s="487" t="str">
        <f t="shared" si="8"/>
        <v/>
      </c>
      <c r="CH175" s="459"/>
    </row>
    <row r="176" spans="1:90" s="461" customFormat="1" ht="12" customHeight="1" x14ac:dyDescent="0.15">
      <c r="A176" s="522" t="s">
        <v>3222</v>
      </c>
      <c r="B176" s="467">
        <v>42428</v>
      </c>
      <c r="C176" s="468" t="s">
        <v>3223</v>
      </c>
      <c r="D176" s="468" t="s">
        <v>3192</v>
      </c>
      <c r="E176" s="468" t="s">
        <v>3699</v>
      </c>
      <c r="F176" s="468" t="s">
        <v>3686</v>
      </c>
      <c r="G176" s="466">
        <v>11</v>
      </c>
      <c r="H176" s="465">
        <v>6</v>
      </c>
      <c r="I176" s="466"/>
      <c r="J176" s="466"/>
      <c r="K176" s="466">
        <v>14</v>
      </c>
      <c r="L176" s="464" t="s">
        <v>431</v>
      </c>
      <c r="M176" s="463">
        <v>6883</v>
      </c>
      <c r="N176" s="468" t="s">
        <v>3225</v>
      </c>
      <c r="O176" s="466">
        <v>10</v>
      </c>
      <c r="P176" s="523">
        <v>-14.75</v>
      </c>
      <c r="Q176" s="462">
        <v>8.2928240740740738E-4</v>
      </c>
      <c r="R176" s="463">
        <v>99</v>
      </c>
      <c r="S176" s="466"/>
      <c r="T176" s="524"/>
      <c r="W176" s="460"/>
      <c r="AY176" s="486" t="str">
        <f t="shared" si="6"/>
        <v/>
      </c>
      <c r="AZ176" s="487" t="str">
        <f t="shared" si="8"/>
        <v/>
      </c>
      <c r="CH176" s="459"/>
    </row>
    <row r="177" spans="1:90" s="461" customFormat="1" ht="12" customHeight="1" x14ac:dyDescent="0.15">
      <c r="A177" s="522" t="s">
        <v>3183</v>
      </c>
      <c r="B177" s="467">
        <v>42428</v>
      </c>
      <c r="C177" s="468" t="s">
        <v>4027</v>
      </c>
      <c r="D177" s="468" t="s">
        <v>4028</v>
      </c>
      <c r="E177" s="468" t="s">
        <v>4029</v>
      </c>
      <c r="F177" s="468" t="s">
        <v>540</v>
      </c>
      <c r="G177" s="466">
        <v>12</v>
      </c>
      <c r="H177" s="465">
        <v>7.5</v>
      </c>
      <c r="I177" s="466" t="s">
        <v>3730</v>
      </c>
      <c r="J177" s="466"/>
      <c r="K177" s="466">
        <v>12</v>
      </c>
      <c r="L177" s="506">
        <v>15</v>
      </c>
      <c r="M177" s="463">
        <v>35000</v>
      </c>
      <c r="N177" s="468" t="s">
        <v>4180</v>
      </c>
      <c r="O177" s="466">
        <v>2</v>
      </c>
      <c r="P177" s="523">
        <v>-1</v>
      </c>
      <c r="Q177" s="462">
        <v>1.0565972222222222E-3</v>
      </c>
      <c r="R177" s="463">
        <v>6080</v>
      </c>
      <c r="S177" s="466"/>
      <c r="T177" s="524"/>
      <c r="W177" s="460"/>
      <c r="AY177" s="486" t="str">
        <f t="shared" si="6"/>
        <v/>
      </c>
      <c r="AZ177" s="487" t="str">
        <f t="shared" si="8"/>
        <v/>
      </c>
      <c r="CH177" s="459"/>
    </row>
    <row r="178" spans="1:90" s="469" customFormat="1" ht="12" customHeight="1" x14ac:dyDescent="0.15">
      <c r="A178" s="471" t="s">
        <v>54</v>
      </c>
      <c r="B178" s="472">
        <v>42428</v>
      </c>
      <c r="C178" s="471" t="s">
        <v>4166</v>
      </c>
      <c r="D178" s="471" t="s">
        <v>4165</v>
      </c>
      <c r="E178" s="471" t="s">
        <v>3188</v>
      </c>
      <c r="F178" s="471" t="s">
        <v>1268</v>
      </c>
      <c r="G178" s="473">
        <v>9</v>
      </c>
      <c r="H178" s="474">
        <v>8.5</v>
      </c>
      <c r="I178" s="475"/>
      <c r="J178" s="475"/>
      <c r="K178" s="473">
        <v>7</v>
      </c>
      <c r="L178" s="485" t="s">
        <v>431</v>
      </c>
      <c r="M178" s="476">
        <v>75000</v>
      </c>
      <c r="N178" s="471" t="s">
        <v>4167</v>
      </c>
      <c r="O178" s="477" t="s">
        <v>431</v>
      </c>
      <c r="P178" s="478" t="s">
        <v>431</v>
      </c>
      <c r="Q178" s="479" t="s">
        <v>431</v>
      </c>
      <c r="R178" s="480" t="s">
        <v>431</v>
      </c>
      <c r="S178" s="477"/>
      <c r="T178" s="481" t="s">
        <v>4110</v>
      </c>
      <c r="U178" s="482"/>
      <c r="V178" s="482"/>
      <c r="W178" s="483"/>
      <c r="X178" s="482"/>
      <c r="Y178" s="482"/>
      <c r="Z178" s="482"/>
      <c r="AA178" s="482"/>
      <c r="AB178" s="482"/>
      <c r="AC178" s="482"/>
      <c r="AD178" s="482"/>
      <c r="AE178" s="482"/>
      <c r="AF178" s="482"/>
      <c r="AG178" s="482"/>
      <c r="AH178" s="482"/>
      <c r="AI178" s="482"/>
      <c r="AJ178" s="482"/>
      <c r="AK178" s="482"/>
      <c r="AL178" s="482"/>
      <c r="AM178" s="482"/>
      <c r="AN178" s="482"/>
      <c r="AO178" s="482"/>
      <c r="AP178" s="482"/>
      <c r="AQ178" s="482"/>
      <c r="AR178" s="482"/>
      <c r="AS178" s="482"/>
      <c r="AT178" s="482"/>
      <c r="AU178" s="482"/>
      <c r="AV178" s="482"/>
      <c r="AW178" s="482"/>
      <c r="AX178" s="482"/>
      <c r="AY178" s="486" t="str">
        <f t="shared" si="6"/>
        <v/>
      </c>
      <c r="AZ178" s="487" t="str">
        <f t="shared" si="8"/>
        <v/>
      </c>
      <c r="BA178" s="482"/>
      <c r="BB178" s="482"/>
      <c r="BC178" s="482"/>
      <c r="BD178" s="482"/>
      <c r="BE178" s="482"/>
      <c r="BF178" s="482"/>
      <c r="BG178" s="482"/>
      <c r="BH178" s="482"/>
      <c r="BI178" s="482"/>
      <c r="BJ178" s="482"/>
      <c r="BK178" s="482"/>
      <c r="BL178" s="482"/>
      <c r="BM178" s="482"/>
      <c r="BN178" s="482"/>
      <c r="BO178" s="482"/>
      <c r="BP178" s="482"/>
      <c r="BQ178" s="482"/>
      <c r="BR178" s="482"/>
      <c r="BS178" s="482"/>
      <c r="BT178" s="482"/>
      <c r="BU178" s="482"/>
      <c r="BV178" s="482"/>
      <c r="BW178" s="482"/>
      <c r="BX178" s="482"/>
      <c r="BY178" s="482"/>
      <c r="BZ178" s="482"/>
      <c r="CA178" s="482"/>
      <c r="CB178" s="482"/>
      <c r="CC178" s="482"/>
      <c r="CD178" s="482"/>
      <c r="CE178" s="482"/>
      <c r="CF178" s="482"/>
      <c r="CG178" s="482"/>
      <c r="CH178" s="484"/>
    </row>
    <row r="179" spans="1:90" s="461" customFormat="1" ht="12" customHeight="1" x14ac:dyDescent="0.15">
      <c r="A179" s="522" t="s">
        <v>2227</v>
      </c>
      <c r="B179" s="467">
        <v>42430</v>
      </c>
      <c r="C179" s="468" t="s">
        <v>3756</v>
      </c>
      <c r="D179" s="468" t="s">
        <v>3757</v>
      </c>
      <c r="E179" s="468" t="s">
        <v>4209</v>
      </c>
      <c r="F179" s="468" t="s">
        <v>4171</v>
      </c>
      <c r="G179" s="466">
        <v>4</v>
      </c>
      <c r="H179" s="465">
        <v>5</v>
      </c>
      <c r="I179" s="466"/>
      <c r="J179" s="466"/>
      <c r="K179" s="466">
        <v>8</v>
      </c>
      <c r="L179" s="506">
        <v>6</v>
      </c>
      <c r="M179" s="463">
        <v>50000</v>
      </c>
      <c r="N179" s="468" t="s">
        <v>3787</v>
      </c>
      <c r="O179" s="466">
        <v>4</v>
      </c>
      <c r="P179" s="523">
        <v>-12</v>
      </c>
      <c r="Q179" s="462">
        <v>6.7268518518518513E-4</v>
      </c>
      <c r="R179" s="463">
        <v>3000</v>
      </c>
      <c r="S179" s="466"/>
      <c r="T179" s="524"/>
      <c r="W179" s="460"/>
      <c r="AY179" s="486" t="str">
        <f t="shared" si="6"/>
        <v/>
      </c>
      <c r="AZ179" s="487" t="str">
        <f t="shared" si="8"/>
        <v/>
      </c>
      <c r="CH179" s="459"/>
    </row>
    <row r="180" spans="1:90" s="461" customFormat="1" ht="12" customHeight="1" x14ac:dyDescent="0.15">
      <c r="A180" s="522" t="s">
        <v>2467</v>
      </c>
      <c r="B180" s="467">
        <v>42432</v>
      </c>
      <c r="C180" s="468" t="s">
        <v>3186</v>
      </c>
      <c r="D180" s="468" t="s">
        <v>5144</v>
      </c>
      <c r="E180" s="468" t="s">
        <v>4030</v>
      </c>
      <c r="F180" s="468" t="s">
        <v>525</v>
      </c>
      <c r="G180" s="466">
        <v>4</v>
      </c>
      <c r="H180" s="465">
        <v>8.5</v>
      </c>
      <c r="I180" s="466"/>
      <c r="J180" s="466"/>
      <c r="K180" s="466">
        <v>7</v>
      </c>
      <c r="L180" s="506">
        <v>15</v>
      </c>
      <c r="M180" s="463">
        <v>55000</v>
      </c>
      <c r="N180" s="468" t="s">
        <v>4211</v>
      </c>
      <c r="O180" s="466">
        <v>6</v>
      </c>
      <c r="P180" s="523">
        <v>-15.25</v>
      </c>
      <c r="Q180" s="462">
        <v>1.242939814814815E-3</v>
      </c>
      <c r="R180" s="463">
        <v>550</v>
      </c>
      <c r="S180" s="466"/>
      <c r="T180" s="524"/>
      <c r="W180" s="460"/>
      <c r="AY180" s="486" t="str">
        <f t="shared" si="6"/>
        <v/>
      </c>
      <c r="AZ180" s="487" t="str">
        <f t="shared" si="8"/>
        <v/>
      </c>
      <c r="CH180" s="459"/>
    </row>
    <row r="181" spans="1:90" s="461" customFormat="1" ht="12" customHeight="1" x14ac:dyDescent="0.15">
      <c r="A181" s="522" t="s">
        <v>2172</v>
      </c>
      <c r="B181" s="467">
        <v>42432</v>
      </c>
      <c r="C181" s="468" t="s">
        <v>3707</v>
      </c>
      <c r="D181" s="468" t="s">
        <v>3708</v>
      </c>
      <c r="E181" s="468" t="s">
        <v>4325</v>
      </c>
      <c r="F181" s="468" t="s">
        <v>4077</v>
      </c>
      <c r="G181" s="466">
        <v>1</v>
      </c>
      <c r="H181" s="465">
        <v>5</v>
      </c>
      <c r="I181" s="466"/>
      <c r="J181" s="466"/>
      <c r="K181" s="466">
        <v>6</v>
      </c>
      <c r="L181" s="506">
        <f>9/5</f>
        <v>1.8</v>
      </c>
      <c r="M181" s="463">
        <v>5000</v>
      </c>
      <c r="N181" s="468" t="s">
        <v>3739</v>
      </c>
      <c r="O181" s="466">
        <v>2</v>
      </c>
      <c r="P181" s="523">
        <v>-6</v>
      </c>
      <c r="Q181" s="462">
        <v>6.9444444444444447E-4</v>
      </c>
      <c r="R181" s="463">
        <v>1000</v>
      </c>
      <c r="S181" s="466"/>
      <c r="T181" s="524"/>
      <c r="W181" s="460"/>
      <c r="AY181" s="486" t="str">
        <f t="shared" si="6"/>
        <v/>
      </c>
      <c r="AZ181" s="487" t="str">
        <f t="shared" si="8"/>
        <v/>
      </c>
      <c r="CH181" s="459"/>
    </row>
    <row r="182" spans="1:90" s="461" customFormat="1" ht="12" customHeight="1" x14ac:dyDescent="0.15">
      <c r="A182" s="522" t="s">
        <v>4063</v>
      </c>
      <c r="B182" s="467">
        <v>42433</v>
      </c>
      <c r="C182" s="468" t="s">
        <v>4064</v>
      </c>
      <c r="D182" s="468" t="s">
        <v>4014</v>
      </c>
      <c r="E182" s="468" t="s">
        <v>4764</v>
      </c>
      <c r="F182" s="468" t="s">
        <v>3686</v>
      </c>
      <c r="G182" s="466">
        <v>3</v>
      </c>
      <c r="H182" s="465">
        <v>9</v>
      </c>
      <c r="I182" s="466"/>
      <c r="J182" s="466"/>
      <c r="K182" s="466">
        <v>8</v>
      </c>
      <c r="L182" s="464" t="s">
        <v>431</v>
      </c>
      <c r="M182" s="463">
        <v>7590</v>
      </c>
      <c r="N182" s="468" t="s">
        <v>3653</v>
      </c>
      <c r="O182" s="466">
        <v>4</v>
      </c>
      <c r="P182" s="523">
        <v>-2</v>
      </c>
      <c r="Q182" s="462">
        <v>1.3079861111111111E-3</v>
      </c>
      <c r="R182" s="463">
        <v>455</v>
      </c>
      <c r="S182" s="466" t="s">
        <v>625</v>
      </c>
      <c r="T182" s="524"/>
      <c r="W182" s="460"/>
      <c r="AY182" s="486">
        <f t="shared" si="6"/>
        <v>455</v>
      </c>
      <c r="AZ182" s="487" t="str">
        <f t="shared" si="8"/>
        <v/>
      </c>
      <c r="CH182" s="459"/>
    </row>
    <row r="183" spans="1:90" s="461" customFormat="1" ht="12" customHeight="1" x14ac:dyDescent="0.15">
      <c r="A183" s="522" t="s">
        <v>4175</v>
      </c>
      <c r="B183" s="467">
        <v>42433</v>
      </c>
      <c r="C183" s="468" t="s">
        <v>2605</v>
      </c>
      <c r="D183" s="468" t="s">
        <v>4177</v>
      </c>
      <c r="E183" s="468" t="s">
        <v>4065</v>
      </c>
      <c r="F183" s="468" t="s">
        <v>3686</v>
      </c>
      <c r="G183" s="466">
        <v>4</v>
      </c>
      <c r="H183" s="465">
        <v>7.5</v>
      </c>
      <c r="I183" s="466"/>
      <c r="J183" s="466"/>
      <c r="K183" s="466">
        <v>9</v>
      </c>
      <c r="L183" s="464" t="s">
        <v>431</v>
      </c>
      <c r="M183" s="463">
        <v>6212</v>
      </c>
      <c r="N183" s="468" t="s">
        <v>3653</v>
      </c>
      <c r="O183" s="466">
        <v>3</v>
      </c>
      <c r="P183" s="523">
        <v>-2.25</v>
      </c>
      <c r="Q183" s="462">
        <v>1.0695601851851851E-3</v>
      </c>
      <c r="R183" s="463">
        <v>807</v>
      </c>
      <c r="S183" s="466" t="s">
        <v>625</v>
      </c>
      <c r="T183" s="524"/>
      <c r="W183" s="460"/>
      <c r="AY183" s="486">
        <f t="shared" si="6"/>
        <v>807</v>
      </c>
      <c r="AZ183" s="487" t="str">
        <f t="shared" si="8"/>
        <v/>
      </c>
      <c r="CH183" s="459"/>
    </row>
    <row r="184" spans="1:90" s="461" customFormat="1" ht="12" customHeight="1" x14ac:dyDescent="0.15">
      <c r="A184" s="522" t="s">
        <v>3838</v>
      </c>
      <c r="B184" s="467">
        <v>42433</v>
      </c>
      <c r="C184" s="468" t="s">
        <v>3841</v>
      </c>
      <c r="D184" s="468" t="s">
        <v>3837</v>
      </c>
      <c r="E184" s="468" t="s">
        <v>3700</v>
      </c>
      <c r="F184" s="468" t="s">
        <v>3686</v>
      </c>
      <c r="G184" s="466">
        <v>4</v>
      </c>
      <c r="H184" s="465">
        <v>7.5</v>
      </c>
      <c r="I184" s="466"/>
      <c r="J184" s="466"/>
      <c r="K184" s="466">
        <v>9</v>
      </c>
      <c r="L184" s="464" t="s">
        <v>431</v>
      </c>
      <c r="M184" s="463">
        <v>6212</v>
      </c>
      <c r="N184" s="468" t="s">
        <v>3653</v>
      </c>
      <c r="O184" s="466">
        <v>4</v>
      </c>
      <c r="P184" s="523">
        <v>-3.25</v>
      </c>
      <c r="Q184" s="462">
        <v>1.0695601851851851E-3</v>
      </c>
      <c r="R184" s="463">
        <v>372</v>
      </c>
      <c r="S184" s="466" t="s">
        <v>625</v>
      </c>
      <c r="T184" s="524"/>
      <c r="W184" s="460"/>
      <c r="AY184" s="486">
        <f t="shared" si="6"/>
        <v>372</v>
      </c>
      <c r="AZ184" s="487" t="str">
        <f t="shared" si="8"/>
        <v/>
      </c>
      <c r="CH184" s="459"/>
    </row>
    <row r="185" spans="1:90" s="469" customFormat="1" ht="12" customHeight="1" x14ac:dyDescent="0.15">
      <c r="A185" s="444" t="s">
        <v>1557</v>
      </c>
      <c r="B185" s="445">
        <v>42433</v>
      </c>
      <c r="C185" s="446" t="s">
        <v>4250</v>
      </c>
      <c r="D185" s="446" t="s">
        <v>4247</v>
      </c>
      <c r="E185" s="446" t="s">
        <v>4248</v>
      </c>
      <c r="F185" s="446" t="s">
        <v>3262</v>
      </c>
      <c r="G185" s="447">
        <v>5</v>
      </c>
      <c r="H185" s="448">
        <v>6</v>
      </c>
      <c r="I185" s="447"/>
      <c r="J185" s="447"/>
      <c r="K185" s="447">
        <v>8</v>
      </c>
      <c r="L185" s="449">
        <f>7/2</f>
        <v>3.5</v>
      </c>
      <c r="M185" s="450">
        <v>7900</v>
      </c>
      <c r="N185" s="446" t="s">
        <v>4249</v>
      </c>
      <c r="O185" s="447">
        <v>1</v>
      </c>
      <c r="P185" s="451">
        <v>1.75</v>
      </c>
      <c r="Q185" s="452">
        <v>8.541666666666667E-4</v>
      </c>
      <c r="R185" s="450">
        <v>4740</v>
      </c>
      <c r="S185" s="447"/>
      <c r="T185" s="453" t="s">
        <v>3755</v>
      </c>
      <c r="U185" s="454"/>
      <c r="V185" s="454"/>
      <c r="W185" s="455"/>
      <c r="X185" s="454"/>
      <c r="Y185" s="454"/>
      <c r="Z185" s="454"/>
      <c r="AA185" s="454"/>
      <c r="AB185" s="454"/>
      <c r="AC185" s="454"/>
      <c r="AD185" s="454"/>
      <c r="AE185" s="454"/>
      <c r="AF185" s="454"/>
      <c r="AG185" s="454"/>
      <c r="AH185" s="454"/>
      <c r="AI185" s="454"/>
      <c r="AJ185" s="454"/>
      <c r="AK185" s="454"/>
      <c r="AL185" s="454"/>
      <c r="AM185" s="454"/>
      <c r="AN185" s="454"/>
      <c r="AO185" s="454"/>
      <c r="AP185" s="454"/>
      <c r="AQ185" s="454"/>
      <c r="AR185" s="454"/>
      <c r="AS185" s="454"/>
      <c r="AT185" s="454"/>
      <c r="AU185" s="454"/>
      <c r="AV185" s="454"/>
      <c r="AW185" s="454"/>
      <c r="AX185" s="454"/>
      <c r="AY185" s="486" t="str">
        <f t="shared" si="6"/>
        <v/>
      </c>
      <c r="AZ185" s="487">
        <f t="shared" si="8"/>
        <v>1</v>
      </c>
      <c r="BA185" s="454"/>
      <c r="BB185" s="454"/>
      <c r="BC185" s="454"/>
      <c r="BD185" s="454"/>
      <c r="BE185" s="454"/>
      <c r="BF185" s="454"/>
      <c r="BG185" s="454"/>
      <c r="BH185" s="454"/>
      <c r="BI185" s="454"/>
      <c r="BJ185" s="454"/>
      <c r="BK185" s="454"/>
      <c r="BL185" s="454"/>
      <c r="BM185" s="454"/>
      <c r="BN185" s="454"/>
      <c r="BO185" s="454"/>
      <c r="BP185" s="454"/>
      <c r="BQ185" s="454"/>
      <c r="BR185" s="454"/>
      <c r="BS185" s="454"/>
      <c r="BT185" s="454"/>
      <c r="BU185" s="454"/>
      <c r="BV185" s="454"/>
      <c r="BW185" s="454"/>
      <c r="BX185" s="454"/>
      <c r="BY185" s="454"/>
      <c r="BZ185" s="454"/>
      <c r="CA185" s="454"/>
      <c r="CB185" s="454"/>
      <c r="CC185" s="454"/>
      <c r="CD185" s="454"/>
      <c r="CE185" s="454"/>
      <c r="CF185" s="454"/>
      <c r="CG185" s="454"/>
      <c r="CH185" s="456"/>
      <c r="CI185" s="454"/>
      <c r="CJ185" s="454"/>
      <c r="CK185" s="454"/>
      <c r="CL185" s="454"/>
    </row>
    <row r="186" spans="1:90" s="461" customFormat="1" ht="12" customHeight="1" x14ac:dyDescent="0.15">
      <c r="A186" s="522" t="s">
        <v>2177</v>
      </c>
      <c r="B186" s="467">
        <v>42433</v>
      </c>
      <c r="C186" s="468" t="s">
        <v>1805</v>
      </c>
      <c r="D186" s="468" t="s">
        <v>3855</v>
      </c>
      <c r="E186" s="468" t="s">
        <v>3967</v>
      </c>
      <c r="F186" s="468" t="s">
        <v>2376</v>
      </c>
      <c r="G186" s="466">
        <v>4</v>
      </c>
      <c r="H186" s="465">
        <v>8</v>
      </c>
      <c r="I186" s="466"/>
      <c r="J186" s="466"/>
      <c r="K186" s="466">
        <v>8</v>
      </c>
      <c r="L186" s="506">
        <v>8</v>
      </c>
      <c r="M186" s="463">
        <v>33300</v>
      </c>
      <c r="N186" s="468" t="s">
        <v>3851</v>
      </c>
      <c r="O186" s="466">
        <v>8</v>
      </c>
      <c r="P186" s="523">
        <v>-19.5</v>
      </c>
      <c r="Q186" s="462">
        <v>1.1832175925925927E-3</v>
      </c>
      <c r="R186" s="463">
        <v>0</v>
      </c>
      <c r="S186" s="466"/>
      <c r="T186" s="524"/>
      <c r="W186" s="460"/>
      <c r="AY186" s="486" t="str">
        <f t="shared" si="6"/>
        <v/>
      </c>
      <c r="AZ186" s="487" t="str">
        <f t="shared" si="8"/>
        <v/>
      </c>
      <c r="CH186" s="459"/>
    </row>
    <row r="187" spans="1:90" s="461" customFormat="1" ht="12" customHeight="1" x14ac:dyDescent="0.15">
      <c r="A187" s="522" t="s">
        <v>3694</v>
      </c>
      <c r="B187" s="467">
        <v>42433</v>
      </c>
      <c r="C187" s="468" t="s">
        <v>3719</v>
      </c>
      <c r="D187" s="468" t="s">
        <v>3721</v>
      </c>
      <c r="E187" s="468" t="s">
        <v>3720</v>
      </c>
      <c r="F187" s="468" t="s">
        <v>993</v>
      </c>
      <c r="G187" s="466">
        <v>5</v>
      </c>
      <c r="H187" s="465">
        <v>4.5</v>
      </c>
      <c r="I187" s="466"/>
      <c r="J187" s="466"/>
      <c r="K187" s="466">
        <v>10</v>
      </c>
      <c r="L187" s="506">
        <f>7/2</f>
        <v>3.5</v>
      </c>
      <c r="M187" s="463">
        <v>23000</v>
      </c>
      <c r="N187" s="468" t="s">
        <v>3718</v>
      </c>
      <c r="O187" s="466">
        <v>2</v>
      </c>
      <c r="P187" s="523">
        <v>-1.25</v>
      </c>
      <c r="Q187" s="462">
        <v>6.1423611111111108E-4</v>
      </c>
      <c r="R187" s="463">
        <v>4520</v>
      </c>
      <c r="S187" s="466"/>
      <c r="T187" s="524" t="s">
        <v>3714</v>
      </c>
      <c r="W187" s="460"/>
      <c r="AY187" s="486" t="str">
        <f t="shared" si="6"/>
        <v/>
      </c>
      <c r="AZ187" s="487" t="str">
        <f t="shared" si="8"/>
        <v/>
      </c>
      <c r="CH187" s="459"/>
    </row>
    <row r="188" spans="1:90" s="461" customFormat="1" ht="12" customHeight="1" x14ac:dyDescent="0.15">
      <c r="A188" s="522" t="s">
        <v>33</v>
      </c>
      <c r="B188" s="467">
        <v>42433</v>
      </c>
      <c r="C188" s="468" t="s">
        <v>3715</v>
      </c>
      <c r="D188" s="468" t="s">
        <v>4208</v>
      </c>
      <c r="E188" s="468" t="s">
        <v>3717</v>
      </c>
      <c r="F188" s="468" t="s">
        <v>680</v>
      </c>
      <c r="G188" s="466">
        <v>9</v>
      </c>
      <c r="H188" s="465">
        <v>6.5</v>
      </c>
      <c r="I188" s="466" t="s">
        <v>1360</v>
      </c>
      <c r="J188" s="466"/>
      <c r="K188" s="466">
        <v>9</v>
      </c>
      <c r="L188" s="506">
        <f>8/5</f>
        <v>1.6</v>
      </c>
      <c r="M188" s="463">
        <v>7100</v>
      </c>
      <c r="N188" s="468" t="s">
        <v>3763</v>
      </c>
      <c r="O188" s="466">
        <v>4</v>
      </c>
      <c r="P188" s="523">
        <v>-4.5</v>
      </c>
      <c r="Q188" s="462">
        <v>9.0798611111111115E-4</v>
      </c>
      <c r="R188" s="463">
        <v>355</v>
      </c>
      <c r="S188" s="466"/>
      <c r="T188" s="524" t="s">
        <v>3714</v>
      </c>
      <c r="W188" s="460"/>
      <c r="AY188" s="486" t="str">
        <f t="shared" si="6"/>
        <v/>
      </c>
      <c r="AZ188" s="487" t="str">
        <f t="shared" si="8"/>
        <v/>
      </c>
      <c r="CH188" s="459"/>
    </row>
    <row r="189" spans="1:90" s="461" customFormat="1" ht="12" customHeight="1" x14ac:dyDescent="0.15">
      <c r="A189" s="522" t="s">
        <v>3266</v>
      </c>
      <c r="B189" s="467">
        <v>42434</v>
      </c>
      <c r="C189" s="468" t="s">
        <v>4333</v>
      </c>
      <c r="D189" s="468" t="s">
        <v>3705</v>
      </c>
      <c r="E189" s="468" t="s">
        <v>3856</v>
      </c>
      <c r="F189" s="468" t="s">
        <v>4171</v>
      </c>
      <c r="G189" s="466">
        <v>2</v>
      </c>
      <c r="H189" s="465">
        <v>5</v>
      </c>
      <c r="I189" s="466"/>
      <c r="J189" s="466"/>
      <c r="K189" s="466">
        <v>10</v>
      </c>
      <c r="L189" s="506">
        <f>8/5</f>
        <v>1.6</v>
      </c>
      <c r="M189" s="463">
        <v>37000</v>
      </c>
      <c r="N189" s="468" t="s">
        <v>3718</v>
      </c>
      <c r="O189" s="466">
        <v>8</v>
      </c>
      <c r="P189" s="523">
        <v>-3.75</v>
      </c>
      <c r="Q189" s="462">
        <v>6.7303240740740735E-4</v>
      </c>
      <c r="R189" s="463">
        <v>0</v>
      </c>
      <c r="S189" s="466"/>
      <c r="T189" s="524" t="s">
        <v>5030</v>
      </c>
      <c r="W189" s="460"/>
      <c r="AY189" s="486" t="str">
        <f t="shared" si="6"/>
        <v/>
      </c>
      <c r="AZ189" s="487" t="str">
        <f t="shared" si="8"/>
        <v/>
      </c>
      <c r="CH189" s="459"/>
    </row>
    <row r="190" spans="1:90" s="461" customFormat="1" ht="12" customHeight="1" x14ac:dyDescent="0.15">
      <c r="A190" s="522" t="s">
        <v>58</v>
      </c>
      <c r="B190" s="467">
        <v>42434</v>
      </c>
      <c r="C190" s="468" t="s">
        <v>4244</v>
      </c>
      <c r="D190" s="468" t="s">
        <v>4245</v>
      </c>
      <c r="E190" s="468" t="s">
        <v>4246</v>
      </c>
      <c r="F190" s="468" t="s">
        <v>525</v>
      </c>
      <c r="G190" s="466">
        <v>2</v>
      </c>
      <c r="H190" s="465">
        <v>8.3000000000000007</v>
      </c>
      <c r="I190" s="466"/>
      <c r="J190" s="466"/>
      <c r="K190" s="466">
        <v>6</v>
      </c>
      <c r="L190" s="506">
        <v>10</v>
      </c>
      <c r="M190" s="463">
        <v>25000</v>
      </c>
      <c r="N190" s="468" t="s">
        <v>3920</v>
      </c>
      <c r="O190" s="466">
        <v>6</v>
      </c>
      <c r="P190" s="523">
        <v>-16.75</v>
      </c>
      <c r="Q190" s="462">
        <v>1.2013888888888888E-3</v>
      </c>
      <c r="R190" s="463">
        <v>500</v>
      </c>
      <c r="S190" s="466"/>
      <c r="T190" s="524"/>
      <c r="W190" s="460"/>
      <c r="AY190" s="486" t="str">
        <f t="shared" si="6"/>
        <v/>
      </c>
      <c r="AZ190" s="487" t="str">
        <f t="shared" si="8"/>
        <v/>
      </c>
      <c r="CH190" s="459"/>
    </row>
    <row r="191" spans="1:90" s="461" customFormat="1" ht="12" customHeight="1" x14ac:dyDescent="0.15">
      <c r="A191" s="522" t="s">
        <v>3182</v>
      </c>
      <c r="B191" s="467">
        <v>42434</v>
      </c>
      <c r="C191" s="468" t="s">
        <v>3785</v>
      </c>
      <c r="D191" s="468" t="s">
        <v>3705</v>
      </c>
      <c r="E191" s="468" t="s">
        <v>3786</v>
      </c>
      <c r="F191" s="468" t="s">
        <v>4171</v>
      </c>
      <c r="G191" s="466">
        <v>9</v>
      </c>
      <c r="H191" s="465">
        <v>5</v>
      </c>
      <c r="I191" s="466"/>
      <c r="J191" s="466"/>
      <c r="K191" s="466">
        <v>10</v>
      </c>
      <c r="L191" s="506">
        <v>4</v>
      </c>
      <c r="M191" s="463">
        <v>37000</v>
      </c>
      <c r="N191" s="468" t="s">
        <v>3718</v>
      </c>
      <c r="O191" s="466">
        <v>2</v>
      </c>
      <c r="P191" s="523">
        <v>-1.75</v>
      </c>
      <c r="Q191" s="462">
        <v>6.9756944444444434E-4</v>
      </c>
      <c r="R191" s="463">
        <v>7400</v>
      </c>
      <c r="S191" s="466"/>
      <c r="T191" s="524"/>
      <c r="W191" s="460"/>
      <c r="AY191" s="486" t="str">
        <f t="shared" si="6"/>
        <v/>
      </c>
      <c r="AZ191" s="487" t="str">
        <f t="shared" si="8"/>
        <v/>
      </c>
      <c r="CH191" s="459"/>
    </row>
    <row r="192" spans="1:90" s="461" customFormat="1" ht="12" customHeight="1" x14ac:dyDescent="0.15">
      <c r="A192" s="522" t="s">
        <v>3178</v>
      </c>
      <c r="B192" s="467">
        <v>42434</v>
      </c>
      <c r="C192" s="468" t="s">
        <v>2268</v>
      </c>
      <c r="D192" s="468" t="s">
        <v>4224</v>
      </c>
      <c r="E192" s="468" t="s">
        <v>4225</v>
      </c>
      <c r="F192" s="468" t="s">
        <v>4171</v>
      </c>
      <c r="G192" s="466">
        <v>9</v>
      </c>
      <c r="H192" s="465">
        <v>5</v>
      </c>
      <c r="I192" s="466"/>
      <c r="J192" s="466"/>
      <c r="K192" s="466">
        <v>10</v>
      </c>
      <c r="L192" s="506">
        <v>8</v>
      </c>
      <c r="M192" s="463">
        <v>37000</v>
      </c>
      <c r="N192" s="468" t="s">
        <v>3718</v>
      </c>
      <c r="O192" s="466">
        <v>5</v>
      </c>
      <c r="P192" s="523">
        <v>-5</v>
      </c>
      <c r="Q192" s="462">
        <v>6.9756944444444434E-4</v>
      </c>
      <c r="R192" s="463">
        <v>1100</v>
      </c>
      <c r="S192" s="466"/>
      <c r="T192" s="524"/>
      <c r="W192" s="460"/>
      <c r="AY192" s="486" t="str">
        <f t="shared" si="6"/>
        <v/>
      </c>
      <c r="AZ192" s="487" t="str">
        <f t="shared" si="8"/>
        <v/>
      </c>
      <c r="CH192" s="459"/>
    </row>
    <row r="193" spans="1:90" s="461" customFormat="1" ht="12" customHeight="1" x14ac:dyDescent="0.15">
      <c r="A193" s="522" t="s">
        <v>4062</v>
      </c>
      <c r="B193" s="467">
        <v>42434</v>
      </c>
      <c r="C193" s="468" t="s">
        <v>2744</v>
      </c>
      <c r="D193" s="468" t="s">
        <v>3298</v>
      </c>
      <c r="E193" s="468" t="s">
        <v>3699</v>
      </c>
      <c r="F193" s="468" t="s">
        <v>3685</v>
      </c>
      <c r="G193" s="466">
        <v>6</v>
      </c>
      <c r="H193" s="465">
        <v>6</v>
      </c>
      <c r="I193" s="466"/>
      <c r="J193" s="466"/>
      <c r="K193" s="466">
        <v>10</v>
      </c>
      <c r="L193" s="464" t="s">
        <v>431</v>
      </c>
      <c r="M193" s="463">
        <v>2789</v>
      </c>
      <c r="N193" s="468" t="s">
        <v>3348</v>
      </c>
      <c r="O193" s="466">
        <v>3</v>
      </c>
      <c r="P193" s="555">
        <v>-0.75</v>
      </c>
      <c r="Q193" s="462">
        <v>8.6307870370370369E-4</v>
      </c>
      <c r="R193" s="463">
        <v>368</v>
      </c>
      <c r="S193" s="466" t="s">
        <v>625</v>
      </c>
      <c r="T193" s="524" t="s">
        <v>4253</v>
      </c>
      <c r="W193" s="460"/>
      <c r="AY193" s="486">
        <f t="shared" si="6"/>
        <v>368</v>
      </c>
      <c r="AZ193" s="487" t="str">
        <f t="shared" si="8"/>
        <v/>
      </c>
      <c r="CH193" s="459"/>
    </row>
    <row r="194" spans="1:90" s="461" customFormat="1" ht="12" customHeight="1" x14ac:dyDescent="0.15">
      <c r="A194" s="522" t="s">
        <v>4206</v>
      </c>
      <c r="B194" s="467">
        <v>42434</v>
      </c>
      <c r="C194" s="468" t="s">
        <v>3951</v>
      </c>
      <c r="D194" s="468" t="s">
        <v>4207</v>
      </c>
      <c r="E194" s="468" t="s">
        <v>1310</v>
      </c>
      <c r="F194" s="468" t="s">
        <v>4070</v>
      </c>
      <c r="G194" s="466">
        <v>7</v>
      </c>
      <c r="H194" s="465">
        <v>3.5</v>
      </c>
      <c r="I194" s="466"/>
      <c r="J194" s="466"/>
      <c r="K194" s="466">
        <v>10</v>
      </c>
      <c r="L194" s="464" t="s">
        <v>431</v>
      </c>
      <c r="M194" s="463">
        <v>1215</v>
      </c>
      <c r="N194" s="468" t="s">
        <v>4007</v>
      </c>
      <c r="O194" s="466">
        <v>4</v>
      </c>
      <c r="P194" s="523">
        <v>-4.75</v>
      </c>
      <c r="Q194" s="462">
        <v>4.8032407407407404E-4</v>
      </c>
      <c r="R194" s="463">
        <v>30</v>
      </c>
      <c r="S194" s="466" t="s">
        <v>625</v>
      </c>
      <c r="T194" s="524"/>
      <c r="W194" s="460"/>
      <c r="AY194" s="486">
        <f t="shared" si="6"/>
        <v>30</v>
      </c>
      <c r="AZ194" s="487" t="str">
        <f t="shared" si="8"/>
        <v/>
      </c>
      <c r="CH194" s="459"/>
    </row>
    <row r="195" spans="1:90" s="461" customFormat="1" ht="12" customHeight="1" x14ac:dyDescent="0.15">
      <c r="A195" s="522" t="s">
        <v>4066</v>
      </c>
      <c r="B195" s="467">
        <v>42434</v>
      </c>
      <c r="C195" s="468" t="s">
        <v>4210</v>
      </c>
      <c r="D195" s="468" t="s">
        <v>4068</v>
      </c>
      <c r="E195" s="468" t="s">
        <v>1310</v>
      </c>
      <c r="F195" s="468" t="s">
        <v>4070</v>
      </c>
      <c r="G195" s="466">
        <v>9</v>
      </c>
      <c r="H195" s="465">
        <v>6</v>
      </c>
      <c r="I195" s="466"/>
      <c r="J195" s="466"/>
      <c r="K195" s="466">
        <v>8</v>
      </c>
      <c r="L195" s="464" t="s">
        <v>431</v>
      </c>
      <c r="M195" s="463">
        <v>2025</v>
      </c>
      <c r="N195" s="468" t="s">
        <v>4007</v>
      </c>
      <c r="O195" s="466">
        <v>3</v>
      </c>
      <c r="P195" s="523">
        <v>-8</v>
      </c>
      <c r="Q195" s="462">
        <v>9.1516203703703714E-4</v>
      </c>
      <c r="R195" s="463">
        <v>30</v>
      </c>
      <c r="S195" s="466" t="s">
        <v>625</v>
      </c>
      <c r="T195" s="524"/>
      <c r="W195" s="460"/>
      <c r="AY195" s="486">
        <f t="shared" si="6"/>
        <v>30</v>
      </c>
      <c r="AZ195" s="487" t="str">
        <f t="shared" si="8"/>
        <v/>
      </c>
      <c r="CH195" s="459"/>
    </row>
    <row r="196" spans="1:90" s="461" customFormat="1" ht="12" customHeight="1" x14ac:dyDescent="0.15">
      <c r="A196" s="522" t="s">
        <v>4003</v>
      </c>
      <c r="B196" s="467">
        <v>42434</v>
      </c>
      <c r="C196" s="468" t="s">
        <v>4004</v>
      </c>
      <c r="D196" s="468" t="s">
        <v>4005</v>
      </c>
      <c r="E196" s="468" t="s">
        <v>4243</v>
      </c>
      <c r="F196" s="468" t="s">
        <v>3685</v>
      </c>
      <c r="G196" s="466">
        <v>9</v>
      </c>
      <c r="H196" s="465">
        <v>5.5</v>
      </c>
      <c r="I196" s="466"/>
      <c r="J196" s="466"/>
      <c r="K196" s="466">
        <v>12</v>
      </c>
      <c r="L196" s="464" t="s">
        <v>431</v>
      </c>
      <c r="M196" s="463">
        <v>4414</v>
      </c>
      <c r="N196" s="468" t="s">
        <v>4006</v>
      </c>
      <c r="O196" s="466">
        <v>4</v>
      </c>
      <c r="P196" s="523">
        <v>-5.25</v>
      </c>
      <c r="Q196" s="462">
        <v>7.9155092592592591E-4</v>
      </c>
      <c r="R196" s="463">
        <v>269</v>
      </c>
      <c r="S196" s="466" t="s">
        <v>625</v>
      </c>
      <c r="T196" s="524"/>
      <c r="W196" s="460"/>
      <c r="AY196" s="486">
        <f t="shared" si="6"/>
        <v>269</v>
      </c>
      <c r="AZ196" s="487" t="str">
        <f t="shared" si="8"/>
        <v/>
      </c>
      <c r="CH196" s="459"/>
    </row>
    <row r="197" spans="1:90" s="469" customFormat="1" ht="12" customHeight="1" x14ac:dyDescent="0.15">
      <c r="A197" s="471" t="s">
        <v>1667</v>
      </c>
      <c r="B197" s="472">
        <v>42435</v>
      </c>
      <c r="C197" s="471" t="s">
        <v>4073</v>
      </c>
      <c r="D197" s="471" t="s">
        <v>3722</v>
      </c>
      <c r="E197" s="471" t="s">
        <v>4254</v>
      </c>
      <c r="F197" s="471" t="s">
        <v>5446</v>
      </c>
      <c r="G197" s="473">
        <v>10</v>
      </c>
      <c r="H197" s="474">
        <v>9</v>
      </c>
      <c r="I197" s="475"/>
      <c r="J197" s="475"/>
      <c r="K197" s="473">
        <v>14</v>
      </c>
      <c r="L197" s="485" t="s">
        <v>431</v>
      </c>
      <c r="M197" s="476">
        <v>149974</v>
      </c>
      <c r="N197" s="471" t="s">
        <v>4074</v>
      </c>
      <c r="O197" s="477" t="s">
        <v>431</v>
      </c>
      <c r="P197" s="478" t="s">
        <v>431</v>
      </c>
      <c r="Q197" s="479" t="s">
        <v>431</v>
      </c>
      <c r="R197" s="480" t="s">
        <v>431</v>
      </c>
      <c r="S197" s="477"/>
      <c r="T197" s="481" t="s">
        <v>4310</v>
      </c>
      <c r="U197" s="482"/>
      <c r="V197" s="482"/>
      <c r="W197" s="483"/>
      <c r="X197" s="482"/>
      <c r="Y197" s="482"/>
      <c r="Z197" s="482"/>
      <c r="AA197" s="482"/>
      <c r="AB197" s="482"/>
      <c r="AC197" s="482"/>
      <c r="AD197" s="482"/>
      <c r="AE197" s="482"/>
      <c r="AF197" s="482"/>
      <c r="AG197" s="482"/>
      <c r="AH197" s="482"/>
      <c r="AI197" s="482"/>
      <c r="AJ197" s="482"/>
      <c r="AK197" s="482"/>
      <c r="AL197" s="482"/>
      <c r="AM197" s="482"/>
      <c r="AN197" s="482"/>
      <c r="AO197" s="482"/>
      <c r="AP197" s="482"/>
      <c r="AQ197" s="482"/>
      <c r="AR197" s="482"/>
      <c r="AS197" s="482"/>
      <c r="AT197" s="482"/>
      <c r="AU197" s="482"/>
      <c r="AV197" s="482"/>
      <c r="AW197" s="482"/>
      <c r="AX197" s="482"/>
      <c r="AY197" s="486" t="str">
        <f t="shared" si="6"/>
        <v/>
      </c>
      <c r="AZ197" s="487" t="str">
        <f t="shared" si="8"/>
        <v/>
      </c>
      <c r="BA197" s="482"/>
      <c r="BB197" s="482"/>
      <c r="BC197" s="482"/>
      <c r="BD197" s="482"/>
      <c r="BE197" s="482"/>
      <c r="BF197" s="482"/>
      <c r="BG197" s="482"/>
      <c r="BH197" s="482"/>
      <c r="BI197" s="482"/>
      <c r="BJ197" s="482"/>
      <c r="BK197" s="482"/>
      <c r="BL197" s="482"/>
      <c r="BM197" s="482"/>
      <c r="BN197" s="482"/>
      <c r="BO197" s="482"/>
      <c r="BP197" s="482"/>
      <c r="BQ197" s="482"/>
      <c r="BR197" s="482"/>
      <c r="BS197" s="482"/>
      <c r="BT197" s="482"/>
      <c r="BU197" s="482"/>
      <c r="BV197" s="482"/>
      <c r="BW197" s="482"/>
      <c r="BX197" s="482"/>
      <c r="BY197" s="482"/>
      <c r="BZ197" s="482"/>
      <c r="CA197" s="482"/>
      <c r="CB197" s="482"/>
      <c r="CC197" s="482"/>
      <c r="CD197" s="482"/>
      <c r="CE197" s="482"/>
      <c r="CF197" s="482"/>
      <c r="CG197" s="482"/>
      <c r="CH197" s="484"/>
    </row>
    <row r="198" spans="1:90" s="461" customFormat="1" ht="12" customHeight="1" x14ac:dyDescent="0.15">
      <c r="A198" s="522" t="s">
        <v>4010</v>
      </c>
      <c r="B198" s="467">
        <v>42435</v>
      </c>
      <c r="C198" s="468" t="s">
        <v>4015</v>
      </c>
      <c r="D198" s="468" t="s">
        <v>4016</v>
      </c>
      <c r="E198" s="468" t="s">
        <v>3683</v>
      </c>
      <c r="F198" s="468" t="s">
        <v>3686</v>
      </c>
      <c r="G198" s="466">
        <v>2</v>
      </c>
      <c r="H198" s="465">
        <v>9</v>
      </c>
      <c r="I198" s="466"/>
      <c r="J198" s="466"/>
      <c r="K198" s="466">
        <v>7</v>
      </c>
      <c r="L198" s="464" t="s">
        <v>431</v>
      </c>
      <c r="M198" s="463">
        <v>9108</v>
      </c>
      <c r="N198" s="468" t="s">
        <v>3225</v>
      </c>
      <c r="O198" s="466">
        <v>5</v>
      </c>
      <c r="P198" s="523">
        <v>-10.75</v>
      </c>
      <c r="Q198" s="462">
        <v>1.2810185185185186E-3</v>
      </c>
      <c r="R198" s="463">
        <v>99</v>
      </c>
      <c r="S198" s="466" t="s">
        <v>625</v>
      </c>
      <c r="T198" s="524" t="s">
        <v>4253</v>
      </c>
      <c r="W198" s="460"/>
      <c r="AY198" s="486">
        <f t="shared" ref="AY198:AY261" si="9">IF(S198="","",R198)</f>
        <v>99</v>
      </c>
      <c r="AZ198" s="487" t="str">
        <f t="shared" ref="AZ198:AZ205" si="10">IF(F198="Pleasant Meadows","",IF(L198="","",IF(O198="--","",IF(O198=1,1,""))))</f>
        <v/>
      </c>
      <c r="CH198" s="459"/>
    </row>
    <row r="199" spans="1:90" s="461" customFormat="1" ht="12" customHeight="1" x14ac:dyDescent="0.15">
      <c r="A199" s="522" t="s">
        <v>4012</v>
      </c>
      <c r="B199" s="467">
        <v>42435</v>
      </c>
      <c r="C199" s="468" t="s">
        <v>4019</v>
      </c>
      <c r="D199" s="468" t="s">
        <v>4020</v>
      </c>
      <c r="E199" s="468" t="s">
        <v>3700</v>
      </c>
      <c r="F199" s="468" t="s">
        <v>3686</v>
      </c>
      <c r="G199" s="466">
        <v>8</v>
      </c>
      <c r="H199" s="465">
        <v>6</v>
      </c>
      <c r="I199" s="466"/>
      <c r="J199" s="466"/>
      <c r="K199" s="466">
        <v>9</v>
      </c>
      <c r="L199" s="464" t="s">
        <v>431</v>
      </c>
      <c r="M199" s="463">
        <v>5579</v>
      </c>
      <c r="N199" s="468" t="s">
        <v>3653</v>
      </c>
      <c r="O199" s="466">
        <v>9</v>
      </c>
      <c r="P199" s="523">
        <v>-11.25</v>
      </c>
      <c r="Q199" s="462">
        <v>8.3587962962962956E-4</v>
      </c>
      <c r="R199" s="463">
        <v>99</v>
      </c>
      <c r="S199" s="466" t="s">
        <v>625</v>
      </c>
      <c r="T199" s="524"/>
      <c r="W199" s="460"/>
      <c r="AY199" s="486">
        <f t="shared" si="9"/>
        <v>99</v>
      </c>
      <c r="AZ199" s="487" t="str">
        <f t="shared" si="10"/>
        <v/>
      </c>
      <c r="CH199" s="459"/>
    </row>
    <row r="200" spans="1:90" s="469" customFormat="1" ht="12" customHeight="1" x14ac:dyDescent="0.15">
      <c r="A200" s="444" t="s">
        <v>3937</v>
      </c>
      <c r="B200" s="445">
        <v>42435</v>
      </c>
      <c r="C200" s="446" t="s">
        <v>3939</v>
      </c>
      <c r="D200" s="446" t="s">
        <v>3938</v>
      </c>
      <c r="E200" s="446" t="s">
        <v>3957</v>
      </c>
      <c r="F200" s="446" t="s">
        <v>3686</v>
      </c>
      <c r="G200" s="447">
        <v>9</v>
      </c>
      <c r="H200" s="447">
        <v>5.5</v>
      </c>
      <c r="I200" s="447"/>
      <c r="J200" s="447"/>
      <c r="K200" s="447">
        <v>10</v>
      </c>
      <c r="L200" s="448" t="s">
        <v>431</v>
      </c>
      <c r="M200" s="450">
        <v>8828</v>
      </c>
      <c r="N200" s="446" t="s">
        <v>3955</v>
      </c>
      <c r="O200" s="447">
        <v>1</v>
      </c>
      <c r="P200" s="451">
        <v>1</v>
      </c>
      <c r="Q200" s="452">
        <v>7.5694444444444453E-4</v>
      </c>
      <c r="R200" s="450">
        <v>5373</v>
      </c>
      <c r="S200" s="447" t="s">
        <v>625</v>
      </c>
      <c r="T200" s="453"/>
      <c r="U200" s="454"/>
      <c r="V200" s="454"/>
      <c r="W200" s="455"/>
      <c r="X200" s="454"/>
      <c r="Y200" s="454"/>
      <c r="Z200" s="454"/>
      <c r="AA200" s="454"/>
      <c r="AB200" s="454"/>
      <c r="AC200" s="454"/>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4"/>
      <c r="AY200" s="486">
        <f t="shared" si="9"/>
        <v>5373</v>
      </c>
      <c r="AZ200" s="487">
        <f t="shared" si="10"/>
        <v>1</v>
      </c>
      <c r="BA200" s="454"/>
      <c r="BB200" s="454"/>
      <c r="BC200" s="454"/>
      <c r="BD200" s="454"/>
      <c r="BE200" s="454"/>
      <c r="BF200" s="454"/>
      <c r="BG200" s="454"/>
      <c r="BH200" s="454"/>
      <c r="BI200" s="454"/>
      <c r="BJ200" s="454"/>
      <c r="BK200" s="454"/>
      <c r="BL200" s="454"/>
      <c r="BM200" s="454"/>
      <c r="BN200" s="454"/>
      <c r="BO200" s="454"/>
      <c r="BP200" s="454"/>
      <c r="BQ200" s="454"/>
      <c r="BR200" s="454"/>
      <c r="BS200" s="454"/>
      <c r="BT200" s="454"/>
      <c r="BU200" s="454"/>
      <c r="BV200" s="454"/>
      <c r="BW200" s="454"/>
      <c r="BX200" s="454"/>
      <c r="BY200" s="454"/>
      <c r="BZ200" s="454"/>
      <c r="CA200" s="454"/>
      <c r="CB200" s="454"/>
      <c r="CC200" s="454"/>
      <c r="CD200" s="454"/>
      <c r="CE200" s="454"/>
      <c r="CF200" s="454"/>
      <c r="CG200" s="454"/>
      <c r="CH200" s="456"/>
      <c r="CI200" s="454"/>
      <c r="CJ200" s="454"/>
      <c r="CK200" s="454"/>
      <c r="CL200" s="454"/>
    </row>
    <row r="201" spans="1:90" s="461" customFormat="1" ht="12" customHeight="1" x14ac:dyDescent="0.15">
      <c r="A201" s="522" t="s">
        <v>3821</v>
      </c>
      <c r="B201" s="467">
        <v>42435</v>
      </c>
      <c r="C201" s="468" t="s">
        <v>3822</v>
      </c>
      <c r="D201" s="468" t="s">
        <v>3823</v>
      </c>
      <c r="E201" s="468" t="s">
        <v>3959</v>
      </c>
      <c r="F201" s="468" t="s">
        <v>3686</v>
      </c>
      <c r="G201" s="466">
        <v>12</v>
      </c>
      <c r="H201" s="465">
        <v>6</v>
      </c>
      <c r="I201" s="466"/>
      <c r="J201" s="466"/>
      <c r="K201" s="466">
        <v>13</v>
      </c>
      <c r="L201" s="464" t="s">
        <v>431</v>
      </c>
      <c r="M201" s="463">
        <v>6539</v>
      </c>
      <c r="N201" s="468" t="s">
        <v>3225</v>
      </c>
      <c r="O201" s="466">
        <v>5</v>
      </c>
      <c r="P201" s="523">
        <v>-6.75</v>
      </c>
      <c r="Q201" s="462">
        <v>8.331018518518518E-4</v>
      </c>
      <c r="R201" s="463">
        <v>265</v>
      </c>
      <c r="S201" s="466" t="s">
        <v>625</v>
      </c>
      <c r="T201" s="524"/>
      <c r="W201" s="460"/>
      <c r="AY201" s="486">
        <f t="shared" si="9"/>
        <v>265</v>
      </c>
      <c r="AZ201" s="487" t="str">
        <f t="shared" si="10"/>
        <v/>
      </c>
      <c r="CH201" s="459"/>
    </row>
    <row r="202" spans="1:90" s="461" customFormat="1" ht="12" customHeight="1" x14ac:dyDescent="0.15">
      <c r="A202" s="522" t="s">
        <v>21</v>
      </c>
      <c r="B202" s="467">
        <v>42435</v>
      </c>
      <c r="C202" s="468" t="s">
        <v>3334</v>
      </c>
      <c r="D202" s="468" t="s">
        <v>3335</v>
      </c>
      <c r="E202" s="468" t="s">
        <v>3883</v>
      </c>
      <c r="F202" s="468" t="s">
        <v>595</v>
      </c>
      <c r="G202" s="466">
        <v>9</v>
      </c>
      <c r="H202" s="465">
        <v>8</v>
      </c>
      <c r="I202" s="466" t="s">
        <v>3730</v>
      </c>
      <c r="J202" s="466"/>
      <c r="K202" s="466">
        <v>2</v>
      </c>
      <c r="L202" s="506">
        <v>8</v>
      </c>
      <c r="M202" s="463">
        <v>42000</v>
      </c>
      <c r="N202" s="468" t="s">
        <v>2230</v>
      </c>
      <c r="O202" s="466">
        <v>2</v>
      </c>
      <c r="P202" s="523">
        <v>-0.75</v>
      </c>
      <c r="Q202" s="462">
        <v>1.1388888888888889E-3</v>
      </c>
      <c r="R202" s="463">
        <v>8400</v>
      </c>
      <c r="S202" s="466"/>
      <c r="T202" s="524" t="s">
        <v>4273</v>
      </c>
      <c r="W202" s="460"/>
      <c r="AY202" s="486" t="str">
        <f t="shared" si="9"/>
        <v/>
      </c>
      <c r="AZ202" s="487" t="str">
        <f t="shared" si="10"/>
        <v/>
      </c>
      <c r="CH202" s="459"/>
    </row>
    <row r="203" spans="1:90" s="461" customFormat="1" ht="12" customHeight="1" x14ac:dyDescent="0.15">
      <c r="A203" s="522" t="s">
        <v>2151</v>
      </c>
      <c r="B203" s="467">
        <v>42436</v>
      </c>
      <c r="C203" s="468" t="s">
        <v>3852</v>
      </c>
      <c r="D203" s="468" t="s">
        <v>3853</v>
      </c>
      <c r="E203" s="468" t="s">
        <v>4256</v>
      </c>
      <c r="F203" s="468" t="s">
        <v>4171</v>
      </c>
      <c r="G203" s="466">
        <v>4</v>
      </c>
      <c r="H203" s="465">
        <v>7</v>
      </c>
      <c r="I203" s="466"/>
      <c r="J203" s="466"/>
      <c r="K203" s="466">
        <v>8</v>
      </c>
      <c r="L203" s="506">
        <v>12</v>
      </c>
      <c r="M203" s="463">
        <v>30000</v>
      </c>
      <c r="N203" s="468" t="s">
        <v>3991</v>
      </c>
      <c r="O203" s="466">
        <v>2</v>
      </c>
      <c r="P203" s="523">
        <v>-6.25</v>
      </c>
      <c r="Q203" s="462">
        <v>9.932870370370371E-4</v>
      </c>
      <c r="R203" s="463">
        <v>8400</v>
      </c>
      <c r="S203" s="466"/>
      <c r="T203" s="524"/>
      <c r="W203" s="460"/>
      <c r="AY203" s="486" t="str">
        <f t="shared" si="9"/>
        <v/>
      </c>
      <c r="AZ203" s="487" t="str">
        <f t="shared" si="10"/>
        <v/>
      </c>
      <c r="CH203" s="459"/>
    </row>
    <row r="204" spans="1:90" s="461" customFormat="1" ht="12" customHeight="1" x14ac:dyDescent="0.15">
      <c r="A204" s="522" t="s">
        <v>2164</v>
      </c>
      <c r="B204" s="467">
        <v>42436</v>
      </c>
      <c r="C204" s="468" t="s">
        <v>3701</v>
      </c>
      <c r="D204" s="468" t="s">
        <v>3702</v>
      </c>
      <c r="E204" s="468" t="s">
        <v>3796</v>
      </c>
      <c r="F204" s="468" t="s">
        <v>4171</v>
      </c>
      <c r="G204" s="466">
        <v>6</v>
      </c>
      <c r="H204" s="465">
        <v>5.5</v>
      </c>
      <c r="I204" s="466"/>
      <c r="J204" s="466"/>
      <c r="K204" s="466">
        <v>5</v>
      </c>
      <c r="L204" s="506">
        <v>2</v>
      </c>
      <c r="M204" s="463">
        <v>42000</v>
      </c>
      <c r="N204" s="468" t="s">
        <v>4258</v>
      </c>
      <c r="O204" s="466">
        <v>2</v>
      </c>
      <c r="P204" s="523">
        <v>-2.5</v>
      </c>
      <c r="Q204" s="462">
        <v>7.5358796296296296E-4</v>
      </c>
      <c r="R204" s="463">
        <v>8400</v>
      </c>
      <c r="S204" s="466"/>
      <c r="T204" s="524"/>
      <c r="W204" s="460"/>
      <c r="AY204" s="486" t="str">
        <f t="shared" si="9"/>
        <v/>
      </c>
      <c r="AZ204" s="487" t="str">
        <f t="shared" si="10"/>
        <v/>
      </c>
      <c r="CH204" s="459"/>
    </row>
    <row r="205" spans="1:90" s="469" customFormat="1" ht="12" customHeight="1" x14ac:dyDescent="0.15">
      <c r="A205" s="471" t="s">
        <v>2276</v>
      </c>
      <c r="B205" s="472">
        <v>42436</v>
      </c>
      <c r="C205" s="471" t="s">
        <v>1786</v>
      </c>
      <c r="D205" s="471" t="s">
        <v>4257</v>
      </c>
      <c r="E205" s="471" t="s">
        <v>4127</v>
      </c>
      <c r="F205" s="471" t="s">
        <v>4171</v>
      </c>
      <c r="G205" s="473">
        <v>6</v>
      </c>
      <c r="H205" s="474">
        <v>5.5</v>
      </c>
      <c r="I205" s="475"/>
      <c r="J205" s="475"/>
      <c r="K205" s="473">
        <v>7</v>
      </c>
      <c r="L205" s="458">
        <v>10</v>
      </c>
      <c r="M205" s="476">
        <v>42000</v>
      </c>
      <c r="N205" s="471" t="s">
        <v>4258</v>
      </c>
      <c r="O205" s="477" t="s">
        <v>431</v>
      </c>
      <c r="P205" s="478" t="s">
        <v>431</v>
      </c>
      <c r="Q205" s="479" t="s">
        <v>431</v>
      </c>
      <c r="R205" s="480" t="s">
        <v>431</v>
      </c>
      <c r="S205" s="477"/>
      <c r="T205" s="481" t="s">
        <v>4038</v>
      </c>
      <c r="U205" s="482"/>
      <c r="V205" s="482"/>
      <c r="W205" s="483"/>
      <c r="X205" s="482"/>
      <c r="Y205" s="482"/>
      <c r="Z205" s="482"/>
      <c r="AA205" s="482"/>
      <c r="AB205" s="482"/>
      <c r="AC205" s="482"/>
      <c r="AD205" s="482"/>
      <c r="AE205" s="482"/>
      <c r="AF205" s="482"/>
      <c r="AG205" s="482"/>
      <c r="AH205" s="482"/>
      <c r="AI205" s="482"/>
      <c r="AJ205" s="482"/>
      <c r="AK205" s="482"/>
      <c r="AL205" s="482"/>
      <c r="AM205" s="482"/>
      <c r="AN205" s="482"/>
      <c r="AO205" s="482"/>
      <c r="AP205" s="482"/>
      <c r="AQ205" s="482"/>
      <c r="AR205" s="482"/>
      <c r="AS205" s="482"/>
      <c r="AT205" s="482"/>
      <c r="AU205" s="482"/>
      <c r="AV205" s="482"/>
      <c r="AW205" s="482"/>
      <c r="AX205" s="482"/>
      <c r="AY205" s="486" t="str">
        <f t="shared" si="9"/>
        <v/>
      </c>
      <c r="AZ205" s="487" t="str">
        <f t="shared" si="10"/>
        <v/>
      </c>
      <c r="BA205" s="482"/>
      <c r="BB205" s="482"/>
      <c r="BC205" s="482"/>
      <c r="BD205" s="482"/>
      <c r="BE205" s="482"/>
      <c r="BF205" s="482"/>
      <c r="BG205" s="482"/>
      <c r="BH205" s="482"/>
      <c r="BI205" s="482"/>
      <c r="BJ205" s="482"/>
      <c r="BK205" s="482"/>
      <c r="BL205" s="482"/>
      <c r="BM205" s="482"/>
      <c r="BN205" s="482"/>
      <c r="BO205" s="482"/>
      <c r="BP205" s="482"/>
      <c r="BQ205" s="482"/>
      <c r="BR205" s="482"/>
      <c r="BS205" s="482"/>
      <c r="BT205" s="482"/>
      <c r="BU205" s="482"/>
      <c r="BV205" s="482"/>
      <c r="BW205" s="482"/>
      <c r="BX205" s="482"/>
      <c r="BY205" s="482"/>
      <c r="BZ205" s="482"/>
      <c r="CA205" s="482"/>
      <c r="CB205" s="482"/>
      <c r="CC205" s="482"/>
      <c r="CD205" s="482"/>
      <c r="CE205" s="482"/>
      <c r="CF205" s="482"/>
      <c r="CG205" s="482"/>
      <c r="CH205" s="484"/>
    </row>
    <row r="206" spans="1:90" s="469" customFormat="1" ht="12" customHeight="1" x14ac:dyDescent="0.15">
      <c r="A206" s="444" t="s">
        <v>2355</v>
      </c>
      <c r="B206" s="445">
        <v>42439</v>
      </c>
      <c r="C206" s="446" t="s">
        <v>3453</v>
      </c>
      <c r="D206" s="446" t="s">
        <v>1623</v>
      </c>
      <c r="E206" s="446" t="s">
        <v>4140</v>
      </c>
      <c r="F206" s="446" t="s">
        <v>540</v>
      </c>
      <c r="G206" s="447">
        <v>7</v>
      </c>
      <c r="H206" s="448">
        <v>5</v>
      </c>
      <c r="I206" s="447" t="s">
        <v>3730</v>
      </c>
      <c r="J206" s="447"/>
      <c r="K206" s="447">
        <v>7</v>
      </c>
      <c r="L206" s="449">
        <v>4</v>
      </c>
      <c r="M206" s="450">
        <v>44000</v>
      </c>
      <c r="N206" s="446" t="s">
        <v>4096</v>
      </c>
      <c r="O206" s="447">
        <v>1</v>
      </c>
      <c r="P206" s="451">
        <v>2</v>
      </c>
      <c r="Q206" s="452">
        <v>6.3715277777777783E-4</v>
      </c>
      <c r="R206" s="450">
        <v>22800</v>
      </c>
      <c r="S206" s="447"/>
      <c r="T206" s="453" t="s">
        <v>4291</v>
      </c>
      <c r="U206" s="454"/>
      <c r="V206" s="454"/>
      <c r="W206" s="455"/>
      <c r="X206" s="454"/>
      <c r="Y206" s="454"/>
      <c r="Z206" s="454"/>
      <c r="AA206" s="454"/>
      <c r="AB206" s="454"/>
      <c r="AC206" s="454"/>
      <c r="AD206" s="454"/>
      <c r="AE206" s="454"/>
      <c r="AF206" s="454"/>
      <c r="AG206" s="454"/>
      <c r="AH206" s="454"/>
      <c r="AI206" s="454"/>
      <c r="AJ206" s="454"/>
      <c r="AK206" s="454"/>
      <c r="AL206" s="454"/>
      <c r="AM206" s="454"/>
      <c r="AN206" s="454"/>
      <c r="AO206" s="454"/>
      <c r="AP206" s="454"/>
      <c r="AQ206" s="454"/>
      <c r="AR206" s="454"/>
      <c r="AS206" s="454"/>
      <c r="AT206" s="454"/>
      <c r="AU206" s="454"/>
      <c r="AV206" s="454"/>
      <c r="AW206" s="454"/>
      <c r="AX206" s="454"/>
      <c r="AY206" s="486" t="str">
        <f t="shared" si="9"/>
        <v/>
      </c>
      <c r="AZ206" s="487">
        <v>1</v>
      </c>
      <c r="BA206" s="454"/>
      <c r="BB206" s="454"/>
      <c r="BC206" s="454"/>
      <c r="BD206" s="454"/>
      <c r="BE206" s="454"/>
      <c r="BF206" s="454"/>
      <c r="BG206" s="454"/>
      <c r="BH206" s="454"/>
      <c r="BI206" s="454"/>
      <c r="BJ206" s="454"/>
      <c r="BK206" s="454"/>
      <c r="BL206" s="454"/>
      <c r="BM206" s="454"/>
      <c r="BN206" s="454"/>
      <c r="BO206" s="454"/>
      <c r="BP206" s="454"/>
      <c r="BQ206" s="454"/>
      <c r="BR206" s="454"/>
      <c r="BS206" s="454"/>
      <c r="BT206" s="454"/>
      <c r="BU206" s="454"/>
      <c r="BV206" s="454"/>
      <c r="BW206" s="454"/>
      <c r="BX206" s="454"/>
      <c r="BY206" s="454"/>
      <c r="BZ206" s="454"/>
      <c r="CA206" s="454"/>
      <c r="CB206" s="454"/>
      <c r="CC206" s="454"/>
      <c r="CD206" s="454"/>
      <c r="CE206" s="454"/>
      <c r="CF206" s="454"/>
      <c r="CG206" s="454"/>
      <c r="CH206" s="456"/>
      <c r="CI206" s="454"/>
      <c r="CJ206" s="454"/>
      <c r="CK206" s="454"/>
      <c r="CL206" s="454"/>
    </row>
    <row r="207" spans="1:90" s="469" customFormat="1" ht="12" customHeight="1" x14ac:dyDescent="0.15">
      <c r="A207" s="471" t="s">
        <v>1558</v>
      </c>
      <c r="B207" s="472">
        <v>42440</v>
      </c>
      <c r="C207" s="471" t="s">
        <v>4372</v>
      </c>
      <c r="D207" s="471" t="s">
        <v>4270</v>
      </c>
      <c r="E207" s="471" t="s">
        <v>4271</v>
      </c>
      <c r="F207" s="471" t="s">
        <v>540</v>
      </c>
      <c r="G207" s="473">
        <v>9</v>
      </c>
      <c r="H207" s="474">
        <v>8.5</v>
      </c>
      <c r="I207" s="475" t="s">
        <v>3730</v>
      </c>
      <c r="J207" s="475"/>
      <c r="K207" s="473">
        <v>11</v>
      </c>
      <c r="L207" s="458">
        <v>8</v>
      </c>
      <c r="M207" s="476">
        <v>46000</v>
      </c>
      <c r="N207" s="471" t="s">
        <v>4272</v>
      </c>
      <c r="O207" s="477" t="s">
        <v>431</v>
      </c>
      <c r="P207" s="478" t="s">
        <v>431</v>
      </c>
      <c r="Q207" s="479" t="s">
        <v>431</v>
      </c>
      <c r="R207" s="480" t="s">
        <v>431</v>
      </c>
      <c r="S207" s="477"/>
      <c r="T207" s="481" t="s">
        <v>4306</v>
      </c>
      <c r="U207" s="482"/>
      <c r="V207" s="482"/>
      <c r="W207" s="483"/>
      <c r="X207" s="482"/>
      <c r="Y207" s="482"/>
      <c r="Z207" s="482"/>
      <c r="AA207" s="482"/>
      <c r="AB207" s="482"/>
      <c r="AC207" s="482"/>
      <c r="AD207" s="482"/>
      <c r="AE207" s="482"/>
      <c r="AF207" s="482"/>
      <c r="AG207" s="482"/>
      <c r="AH207" s="482"/>
      <c r="AI207" s="482"/>
      <c r="AJ207" s="482"/>
      <c r="AK207" s="482"/>
      <c r="AL207" s="482"/>
      <c r="AM207" s="482"/>
      <c r="AN207" s="482"/>
      <c r="AO207" s="482"/>
      <c r="AP207" s="482"/>
      <c r="AQ207" s="482"/>
      <c r="AR207" s="482"/>
      <c r="AS207" s="482"/>
      <c r="AT207" s="482"/>
      <c r="AU207" s="482"/>
      <c r="AV207" s="482"/>
      <c r="AW207" s="482"/>
      <c r="AX207" s="482"/>
      <c r="AY207" s="486" t="str">
        <f t="shared" si="9"/>
        <v/>
      </c>
      <c r="AZ207" s="487" t="str">
        <f t="shared" ref="AZ207:AZ238" si="11">IF(F207="Pleasant Meadows","",IF(L207="","",IF(O207="--","",IF(O207=1,1,""))))</f>
        <v/>
      </c>
      <c r="BA207" s="482"/>
      <c r="BB207" s="482"/>
      <c r="BC207" s="482"/>
      <c r="BD207" s="482"/>
      <c r="BE207" s="482"/>
      <c r="BF207" s="482"/>
      <c r="BG207" s="482"/>
      <c r="BH207" s="482"/>
      <c r="BI207" s="482"/>
      <c r="BJ207" s="482"/>
      <c r="BK207" s="482"/>
      <c r="BL207" s="482"/>
      <c r="BM207" s="482"/>
      <c r="BN207" s="482"/>
      <c r="BO207" s="482"/>
      <c r="BP207" s="482"/>
      <c r="BQ207" s="482"/>
      <c r="BR207" s="482"/>
      <c r="BS207" s="482"/>
      <c r="BT207" s="482"/>
      <c r="BU207" s="482"/>
      <c r="BV207" s="482"/>
      <c r="BW207" s="482"/>
      <c r="BX207" s="482"/>
      <c r="BY207" s="482"/>
      <c r="BZ207" s="482"/>
      <c r="CA207" s="482"/>
      <c r="CB207" s="482"/>
      <c r="CC207" s="482"/>
      <c r="CD207" s="482"/>
      <c r="CE207" s="482"/>
      <c r="CF207" s="482"/>
      <c r="CG207" s="482"/>
      <c r="CH207" s="484"/>
    </row>
    <row r="208" spans="1:90" s="461" customFormat="1" ht="12" customHeight="1" x14ac:dyDescent="0.15">
      <c r="A208" s="522" t="s">
        <v>4294</v>
      </c>
      <c r="B208" s="467">
        <v>42440</v>
      </c>
      <c r="C208" s="468" t="s">
        <v>3951</v>
      </c>
      <c r="D208" s="468" t="s">
        <v>3725</v>
      </c>
      <c r="E208" s="468" t="s">
        <v>3684</v>
      </c>
      <c r="F208" s="468" t="s">
        <v>3686</v>
      </c>
      <c r="G208" s="466">
        <v>2</v>
      </c>
      <c r="H208" s="465">
        <v>6</v>
      </c>
      <c r="I208" s="466"/>
      <c r="J208" s="466"/>
      <c r="K208" s="466">
        <v>8</v>
      </c>
      <c r="L208" s="464" t="s">
        <v>431</v>
      </c>
      <c r="M208" s="463">
        <v>8863</v>
      </c>
      <c r="N208" s="468" t="s">
        <v>4006</v>
      </c>
      <c r="O208" s="466">
        <v>4</v>
      </c>
      <c r="P208" s="523">
        <v>-9.5</v>
      </c>
      <c r="Q208" s="462" t="s">
        <v>4302</v>
      </c>
      <c r="R208" s="463">
        <v>537</v>
      </c>
      <c r="S208" s="466" t="s">
        <v>625</v>
      </c>
      <c r="T208" s="524"/>
      <c r="W208" s="460"/>
      <c r="AY208" s="486">
        <f t="shared" si="9"/>
        <v>537</v>
      </c>
      <c r="AZ208" s="487" t="str">
        <f t="shared" si="11"/>
        <v/>
      </c>
      <c r="CH208" s="459"/>
    </row>
    <row r="209" spans="1:90" s="461" customFormat="1" ht="12" customHeight="1" x14ac:dyDescent="0.15">
      <c r="A209" s="522" t="s">
        <v>3941</v>
      </c>
      <c r="B209" s="467">
        <v>42440</v>
      </c>
      <c r="C209" s="468" t="s">
        <v>2744</v>
      </c>
      <c r="D209" s="468" t="s">
        <v>3832</v>
      </c>
      <c r="E209" s="468" t="s">
        <v>4299</v>
      </c>
      <c r="F209" s="468" t="s">
        <v>3686</v>
      </c>
      <c r="G209" s="466">
        <v>9</v>
      </c>
      <c r="H209" s="465">
        <v>6</v>
      </c>
      <c r="I209" s="466"/>
      <c r="J209" s="466"/>
      <c r="K209" s="466">
        <v>8</v>
      </c>
      <c r="L209" s="464" t="s">
        <v>431</v>
      </c>
      <c r="M209" s="463">
        <v>6565</v>
      </c>
      <c r="N209" s="468" t="s">
        <v>3225</v>
      </c>
      <c r="O209" s="466">
        <v>3</v>
      </c>
      <c r="P209" s="523">
        <v>-3.75</v>
      </c>
      <c r="Q209" s="462">
        <v>7.6203703703703709E-4</v>
      </c>
      <c r="R209" s="463">
        <v>862</v>
      </c>
      <c r="S209" s="466" t="s">
        <v>625</v>
      </c>
      <c r="T209" s="524"/>
      <c r="W209" s="460"/>
      <c r="AY209" s="486">
        <f t="shared" si="9"/>
        <v>862</v>
      </c>
      <c r="AZ209" s="487" t="str">
        <f t="shared" si="11"/>
        <v/>
      </c>
      <c r="CH209" s="459"/>
    </row>
    <row r="210" spans="1:90" s="469" customFormat="1" ht="12" customHeight="1" x14ac:dyDescent="0.15">
      <c r="A210" s="444" t="s">
        <v>4002</v>
      </c>
      <c r="B210" s="445">
        <v>42440</v>
      </c>
      <c r="C210" s="446" t="s">
        <v>3724</v>
      </c>
      <c r="D210" s="446" t="s">
        <v>3727</v>
      </c>
      <c r="E210" s="446" t="s">
        <v>4298</v>
      </c>
      <c r="F210" s="446" t="s">
        <v>3686</v>
      </c>
      <c r="G210" s="447">
        <v>9</v>
      </c>
      <c r="H210" s="448">
        <v>6</v>
      </c>
      <c r="I210" s="447"/>
      <c r="J210" s="447"/>
      <c r="K210" s="447">
        <v>8</v>
      </c>
      <c r="L210" s="448" t="s">
        <v>431</v>
      </c>
      <c r="M210" s="450">
        <v>5600</v>
      </c>
      <c r="N210" s="446" t="s">
        <v>3653</v>
      </c>
      <c r="O210" s="447">
        <v>1</v>
      </c>
      <c r="P210" s="451">
        <v>0.25</v>
      </c>
      <c r="Q210" s="452">
        <v>8.5752314814814816E-4</v>
      </c>
      <c r="R210" s="450">
        <v>3395</v>
      </c>
      <c r="S210" s="447" t="s">
        <v>625</v>
      </c>
      <c r="T210" s="453"/>
      <c r="U210" s="454"/>
      <c r="V210" s="454"/>
      <c r="W210" s="455"/>
      <c r="X210" s="454"/>
      <c r="Y210" s="454"/>
      <c r="Z210" s="454"/>
      <c r="AA210" s="454"/>
      <c r="AB210" s="454"/>
      <c r="AC210" s="454"/>
      <c r="AD210" s="454"/>
      <c r="AE210" s="454"/>
      <c r="AF210" s="454"/>
      <c r="AG210" s="454"/>
      <c r="AH210" s="454"/>
      <c r="AI210" s="454"/>
      <c r="AJ210" s="454"/>
      <c r="AK210" s="454"/>
      <c r="AL210" s="454"/>
      <c r="AM210" s="454"/>
      <c r="AN210" s="454"/>
      <c r="AO210" s="454"/>
      <c r="AP210" s="454"/>
      <c r="AQ210" s="454"/>
      <c r="AR210" s="454"/>
      <c r="AS210" s="454"/>
      <c r="AT210" s="454"/>
      <c r="AU210" s="454"/>
      <c r="AV210" s="454"/>
      <c r="AW210" s="454"/>
      <c r="AX210" s="454"/>
      <c r="AY210" s="486">
        <f t="shared" si="9"/>
        <v>3395</v>
      </c>
      <c r="AZ210" s="487">
        <f t="shared" si="11"/>
        <v>1</v>
      </c>
      <c r="BA210" s="454"/>
      <c r="BB210" s="454"/>
      <c r="BC210" s="454"/>
      <c r="BD210" s="454"/>
      <c r="BE210" s="454"/>
      <c r="BF210" s="454"/>
      <c r="BG210" s="454"/>
      <c r="BH210" s="454"/>
      <c r="BI210" s="454"/>
      <c r="BJ210" s="454"/>
      <c r="BK210" s="454"/>
      <c r="BL210" s="454"/>
      <c r="BM210" s="454"/>
      <c r="BN210" s="454"/>
      <c r="BO210" s="454"/>
      <c r="BP210" s="454"/>
      <c r="BQ210" s="454"/>
      <c r="BR210" s="454"/>
      <c r="BS210" s="454"/>
      <c r="BT210" s="454"/>
      <c r="BU210" s="454"/>
      <c r="BV210" s="454"/>
      <c r="BW210" s="454"/>
      <c r="BX210" s="454"/>
      <c r="BY210" s="454"/>
      <c r="BZ210" s="454"/>
      <c r="CA210" s="454"/>
      <c r="CB210" s="454"/>
      <c r="CC210" s="454"/>
      <c r="CD210" s="454"/>
      <c r="CE210" s="454"/>
      <c r="CF210" s="454"/>
      <c r="CG210" s="454"/>
      <c r="CH210" s="456"/>
      <c r="CI210" s="454"/>
      <c r="CJ210" s="454"/>
      <c r="CK210" s="454"/>
      <c r="CL210" s="454"/>
    </row>
    <row r="211" spans="1:90" s="461" customFormat="1" ht="12" customHeight="1" x14ac:dyDescent="0.15">
      <c r="A211" s="522" t="s">
        <v>4295</v>
      </c>
      <c r="B211" s="467">
        <v>42440</v>
      </c>
      <c r="C211" s="468" t="s">
        <v>4321</v>
      </c>
      <c r="D211" s="468" t="s">
        <v>3945</v>
      </c>
      <c r="E211" s="468" t="s">
        <v>4297</v>
      </c>
      <c r="F211" s="468" t="s">
        <v>3686</v>
      </c>
      <c r="G211" s="466">
        <v>12</v>
      </c>
      <c r="H211" s="466">
        <v>5.5</v>
      </c>
      <c r="I211" s="466"/>
      <c r="J211" s="466"/>
      <c r="K211" s="466">
        <v>8</v>
      </c>
      <c r="L211" s="464" t="s">
        <v>431</v>
      </c>
      <c r="M211" s="463">
        <v>5600</v>
      </c>
      <c r="N211" s="468" t="s">
        <v>3653</v>
      </c>
      <c r="O211" s="466">
        <v>6</v>
      </c>
      <c r="P211" s="523">
        <v>-8.75</v>
      </c>
      <c r="Q211" s="462">
        <v>7.6770833333333335E-4</v>
      </c>
      <c r="R211" s="463">
        <v>99</v>
      </c>
      <c r="S211" s="466" t="s">
        <v>625</v>
      </c>
      <c r="T211" s="524"/>
      <c r="W211" s="460"/>
      <c r="AY211" s="486">
        <f t="shared" si="9"/>
        <v>99</v>
      </c>
      <c r="AZ211" s="487" t="str">
        <f t="shared" si="11"/>
        <v/>
      </c>
      <c r="CH211" s="459"/>
    </row>
    <row r="212" spans="1:90" s="461" customFormat="1" ht="12" customHeight="1" x14ac:dyDescent="0.15">
      <c r="A212" s="522" t="s">
        <v>4174</v>
      </c>
      <c r="B212" s="467">
        <v>42440</v>
      </c>
      <c r="C212" s="468" t="s">
        <v>2564</v>
      </c>
      <c r="D212" s="468" t="s">
        <v>4176</v>
      </c>
      <c r="E212" s="468" t="s">
        <v>3695</v>
      </c>
      <c r="F212" s="468" t="s">
        <v>3686</v>
      </c>
      <c r="G212" s="466">
        <v>12</v>
      </c>
      <c r="H212" s="466">
        <v>5.5</v>
      </c>
      <c r="I212" s="466"/>
      <c r="J212" s="466"/>
      <c r="K212" s="466">
        <v>8</v>
      </c>
      <c r="L212" s="464" t="s">
        <v>431</v>
      </c>
      <c r="M212" s="463">
        <v>5600</v>
      </c>
      <c r="N212" s="468" t="s">
        <v>3653</v>
      </c>
      <c r="O212" s="466">
        <v>8</v>
      </c>
      <c r="P212" s="523">
        <v>-15</v>
      </c>
      <c r="Q212" s="462">
        <v>7.6770833333333335E-4</v>
      </c>
      <c r="R212" s="463">
        <v>99</v>
      </c>
      <c r="S212" s="466" t="s">
        <v>625</v>
      </c>
      <c r="T212" s="524"/>
      <c r="W212" s="460"/>
      <c r="AY212" s="486">
        <f t="shared" si="9"/>
        <v>99</v>
      </c>
      <c r="AZ212" s="487" t="str">
        <f t="shared" si="11"/>
        <v/>
      </c>
      <c r="CH212" s="459"/>
    </row>
    <row r="213" spans="1:90" s="461" customFormat="1" ht="12" customHeight="1" x14ac:dyDescent="0.15">
      <c r="A213" s="522" t="s">
        <v>3931</v>
      </c>
      <c r="B213" s="467">
        <v>42440</v>
      </c>
      <c r="C213" s="468" t="s">
        <v>3954</v>
      </c>
      <c r="D213" s="468" t="s">
        <v>3946</v>
      </c>
      <c r="E213" s="468" t="s">
        <v>3961</v>
      </c>
      <c r="F213" s="468" t="s">
        <v>3686</v>
      </c>
      <c r="G213" s="466">
        <v>12</v>
      </c>
      <c r="H213" s="466">
        <v>5.5</v>
      </c>
      <c r="I213" s="466"/>
      <c r="J213" s="466"/>
      <c r="K213" s="466">
        <v>8</v>
      </c>
      <c r="L213" s="464" t="s">
        <v>431</v>
      </c>
      <c r="M213" s="463">
        <v>5600</v>
      </c>
      <c r="N213" s="468" t="s">
        <v>3653</v>
      </c>
      <c r="O213" s="466">
        <v>9</v>
      </c>
      <c r="P213" s="523">
        <v>-17.75</v>
      </c>
      <c r="Q213" s="462">
        <v>7.6770833333333335E-4</v>
      </c>
      <c r="R213" s="463">
        <v>99</v>
      </c>
      <c r="S213" s="466" t="s">
        <v>625</v>
      </c>
      <c r="T213" s="524"/>
      <c r="W213" s="460"/>
      <c r="AY213" s="486">
        <f t="shared" si="9"/>
        <v>99</v>
      </c>
      <c r="AZ213" s="487" t="str">
        <f t="shared" si="11"/>
        <v/>
      </c>
      <c r="CH213" s="459"/>
    </row>
    <row r="214" spans="1:90" s="461" customFormat="1" ht="12" customHeight="1" x14ac:dyDescent="0.15">
      <c r="A214" s="522" t="s">
        <v>3328</v>
      </c>
      <c r="B214" s="467">
        <v>42440</v>
      </c>
      <c r="C214" s="468" t="s">
        <v>3329</v>
      </c>
      <c r="D214" s="468" t="s">
        <v>3598</v>
      </c>
      <c r="E214" s="468" t="s">
        <v>3698</v>
      </c>
      <c r="F214" s="468" t="s">
        <v>3686</v>
      </c>
      <c r="G214" s="465">
        <v>14</v>
      </c>
      <c r="H214" s="465">
        <v>6</v>
      </c>
      <c r="I214" s="466"/>
      <c r="J214" s="466"/>
      <c r="K214" s="466">
        <v>14</v>
      </c>
      <c r="L214" s="464" t="s">
        <v>431</v>
      </c>
      <c r="M214" s="463">
        <v>4836</v>
      </c>
      <c r="N214" s="468" t="s">
        <v>4296</v>
      </c>
      <c r="O214" s="466">
        <v>3</v>
      </c>
      <c r="P214" s="523">
        <v>-2</v>
      </c>
      <c r="Q214" s="462">
        <v>8.3530092592592597E-4</v>
      </c>
      <c r="R214" s="463">
        <v>905</v>
      </c>
      <c r="S214" s="466" t="s">
        <v>625</v>
      </c>
      <c r="T214" s="524"/>
      <c r="W214" s="460"/>
      <c r="AY214" s="486">
        <f t="shared" si="9"/>
        <v>905</v>
      </c>
      <c r="AZ214" s="487" t="str">
        <f t="shared" si="11"/>
        <v/>
      </c>
      <c r="CH214" s="459"/>
    </row>
    <row r="215" spans="1:90" s="469" customFormat="1" ht="12" customHeight="1" x14ac:dyDescent="0.15">
      <c r="A215" s="471" t="s">
        <v>1294</v>
      </c>
      <c r="B215" s="472">
        <v>42440</v>
      </c>
      <c r="C215" s="471" t="s">
        <v>3732</v>
      </c>
      <c r="D215" s="471" t="s">
        <v>3728</v>
      </c>
      <c r="E215" s="471" t="s">
        <v>3883</v>
      </c>
      <c r="F215" s="471" t="s">
        <v>595</v>
      </c>
      <c r="G215" s="473">
        <v>1</v>
      </c>
      <c r="H215" s="474">
        <v>7.5</v>
      </c>
      <c r="I215" s="475" t="s">
        <v>3730</v>
      </c>
      <c r="J215" s="475"/>
      <c r="K215" s="473">
        <v>10</v>
      </c>
      <c r="L215" s="458">
        <f>5/2</f>
        <v>2.5</v>
      </c>
      <c r="M215" s="476">
        <v>17500</v>
      </c>
      <c r="N215" s="471" t="s">
        <v>3889</v>
      </c>
      <c r="O215" s="477" t="s">
        <v>431</v>
      </c>
      <c r="P215" s="478" t="s">
        <v>431</v>
      </c>
      <c r="Q215" s="479" t="s">
        <v>431</v>
      </c>
      <c r="R215" s="480" t="s">
        <v>431</v>
      </c>
      <c r="S215" s="477"/>
      <c r="T215" s="481" t="s">
        <v>4304</v>
      </c>
      <c r="U215" s="482"/>
      <c r="V215" s="482"/>
      <c r="W215" s="483"/>
      <c r="X215" s="482"/>
      <c r="Y215" s="482"/>
      <c r="Z215" s="482"/>
      <c r="AA215" s="482"/>
      <c r="AB215" s="482"/>
      <c r="AC215" s="482"/>
      <c r="AD215" s="482"/>
      <c r="AE215" s="482"/>
      <c r="AF215" s="482"/>
      <c r="AG215" s="482"/>
      <c r="AH215" s="482"/>
      <c r="AI215" s="482"/>
      <c r="AJ215" s="482"/>
      <c r="AK215" s="482"/>
      <c r="AL215" s="482"/>
      <c r="AM215" s="482"/>
      <c r="AN215" s="482"/>
      <c r="AO215" s="482"/>
      <c r="AP215" s="482"/>
      <c r="AQ215" s="482"/>
      <c r="AR215" s="482"/>
      <c r="AS215" s="482"/>
      <c r="AT215" s="482"/>
      <c r="AU215" s="482"/>
      <c r="AV215" s="482"/>
      <c r="AW215" s="482"/>
      <c r="AX215" s="482"/>
      <c r="AY215" s="486" t="str">
        <f t="shared" si="9"/>
        <v/>
      </c>
      <c r="AZ215" s="487" t="str">
        <f t="shared" si="11"/>
        <v/>
      </c>
      <c r="BA215" s="482"/>
      <c r="BB215" s="482"/>
      <c r="BC215" s="482"/>
      <c r="BD215" s="482"/>
      <c r="BE215" s="482"/>
      <c r="BF215" s="482"/>
      <c r="BG215" s="482"/>
      <c r="BH215" s="482"/>
      <c r="BI215" s="482"/>
      <c r="BJ215" s="482"/>
      <c r="BK215" s="482"/>
      <c r="BL215" s="482"/>
      <c r="BM215" s="482"/>
      <c r="BN215" s="482"/>
      <c r="BO215" s="482"/>
      <c r="BP215" s="482"/>
      <c r="BQ215" s="482"/>
      <c r="BR215" s="482"/>
      <c r="BS215" s="482"/>
      <c r="BT215" s="482"/>
      <c r="BU215" s="482"/>
      <c r="BV215" s="482"/>
      <c r="BW215" s="482"/>
      <c r="BX215" s="482"/>
      <c r="BY215" s="482"/>
      <c r="BZ215" s="482"/>
      <c r="CA215" s="482"/>
      <c r="CB215" s="482"/>
      <c r="CC215" s="482"/>
      <c r="CD215" s="482"/>
      <c r="CE215" s="482"/>
      <c r="CF215" s="482"/>
      <c r="CG215" s="482"/>
      <c r="CH215" s="484"/>
    </row>
    <row r="216" spans="1:90" s="469" customFormat="1" ht="12" customHeight="1" x14ac:dyDescent="0.15">
      <c r="A216" s="471" t="s">
        <v>3204</v>
      </c>
      <c r="B216" s="472">
        <v>42440</v>
      </c>
      <c r="C216" s="471" t="s">
        <v>3633</v>
      </c>
      <c r="D216" s="471" t="s">
        <v>3295</v>
      </c>
      <c r="E216" s="471" t="s">
        <v>4127</v>
      </c>
      <c r="F216" s="471" t="s">
        <v>993</v>
      </c>
      <c r="G216" s="473">
        <v>3</v>
      </c>
      <c r="H216" s="474">
        <v>4.5</v>
      </c>
      <c r="I216" s="475"/>
      <c r="J216" s="475"/>
      <c r="K216" s="473">
        <v>7</v>
      </c>
      <c r="L216" s="458">
        <v>15</v>
      </c>
      <c r="M216" s="476">
        <v>15500</v>
      </c>
      <c r="N216" s="471" t="s">
        <v>4305</v>
      </c>
      <c r="O216" s="477" t="s">
        <v>431</v>
      </c>
      <c r="P216" s="478" t="s">
        <v>431</v>
      </c>
      <c r="Q216" s="479" t="s">
        <v>431</v>
      </c>
      <c r="R216" s="480" t="s">
        <v>431</v>
      </c>
      <c r="S216" s="477"/>
      <c r="T216" s="481" t="s">
        <v>4303</v>
      </c>
      <c r="U216" s="482"/>
      <c r="V216" s="482"/>
      <c r="W216" s="483"/>
      <c r="X216" s="482"/>
      <c r="Y216" s="482"/>
      <c r="Z216" s="482"/>
      <c r="AA216" s="482"/>
      <c r="AB216" s="482"/>
      <c r="AC216" s="482"/>
      <c r="AD216" s="482"/>
      <c r="AE216" s="482"/>
      <c r="AF216" s="482"/>
      <c r="AG216" s="482"/>
      <c r="AH216" s="482"/>
      <c r="AI216" s="482"/>
      <c r="AJ216" s="482"/>
      <c r="AK216" s="482"/>
      <c r="AL216" s="482"/>
      <c r="AM216" s="482"/>
      <c r="AN216" s="482"/>
      <c r="AO216" s="482"/>
      <c r="AP216" s="482"/>
      <c r="AQ216" s="482"/>
      <c r="AR216" s="482"/>
      <c r="AS216" s="482"/>
      <c r="AT216" s="482"/>
      <c r="AU216" s="482"/>
      <c r="AV216" s="482"/>
      <c r="AW216" s="482"/>
      <c r="AX216" s="482"/>
      <c r="AY216" s="486" t="str">
        <f t="shared" si="9"/>
        <v/>
      </c>
      <c r="AZ216" s="487" t="str">
        <f t="shared" si="11"/>
        <v/>
      </c>
      <c r="BA216" s="482"/>
      <c r="BB216" s="482"/>
      <c r="BC216" s="482"/>
      <c r="BD216" s="482"/>
      <c r="BE216" s="482"/>
      <c r="BF216" s="482"/>
      <c r="BG216" s="482"/>
      <c r="BH216" s="482"/>
      <c r="BI216" s="482"/>
      <c r="BJ216" s="482"/>
      <c r="BK216" s="482"/>
      <c r="BL216" s="482"/>
      <c r="BM216" s="482"/>
      <c r="BN216" s="482"/>
      <c r="BO216" s="482"/>
      <c r="BP216" s="482"/>
      <c r="BQ216" s="482"/>
      <c r="BR216" s="482"/>
      <c r="BS216" s="482"/>
      <c r="BT216" s="482"/>
      <c r="BU216" s="482"/>
      <c r="BV216" s="482"/>
      <c r="BW216" s="482"/>
      <c r="BX216" s="482"/>
      <c r="BY216" s="482"/>
      <c r="BZ216" s="482"/>
      <c r="CA216" s="482"/>
      <c r="CB216" s="482"/>
      <c r="CC216" s="482"/>
      <c r="CD216" s="482"/>
      <c r="CE216" s="482"/>
      <c r="CF216" s="482"/>
      <c r="CG216" s="482"/>
      <c r="CH216" s="484"/>
    </row>
    <row r="217" spans="1:90" s="469" customFormat="1" ht="12" customHeight="1" x14ac:dyDescent="0.15">
      <c r="A217" s="444" t="s">
        <v>2170</v>
      </c>
      <c r="B217" s="445">
        <v>42440</v>
      </c>
      <c r="C217" s="446" t="s">
        <v>3908</v>
      </c>
      <c r="D217" s="446" t="s">
        <v>4300</v>
      </c>
      <c r="E217" s="446" t="s">
        <v>4127</v>
      </c>
      <c r="F217" s="446" t="s">
        <v>788</v>
      </c>
      <c r="G217" s="447">
        <v>7</v>
      </c>
      <c r="H217" s="448">
        <v>6</v>
      </c>
      <c r="I217" s="447"/>
      <c r="J217" s="447"/>
      <c r="K217" s="447">
        <v>8</v>
      </c>
      <c r="L217" s="449">
        <v>8</v>
      </c>
      <c r="M217" s="450">
        <v>45000</v>
      </c>
      <c r="N217" s="446" t="s">
        <v>3882</v>
      </c>
      <c r="O217" s="447">
        <v>1</v>
      </c>
      <c r="P217" s="451">
        <v>1</v>
      </c>
      <c r="Q217" s="452">
        <v>8.2476851851851852E-4</v>
      </c>
      <c r="R217" s="450">
        <v>25650</v>
      </c>
      <c r="S217" s="447"/>
      <c r="T217" s="453"/>
      <c r="U217" s="454"/>
      <c r="V217" s="454"/>
      <c r="W217" s="455"/>
      <c r="X217" s="454"/>
      <c r="Y217" s="454"/>
      <c r="Z217" s="454"/>
      <c r="AA217" s="454"/>
      <c r="AB217" s="454"/>
      <c r="AC217" s="454"/>
      <c r="AD217" s="454"/>
      <c r="AE217" s="454"/>
      <c r="AF217" s="454"/>
      <c r="AG217" s="454"/>
      <c r="AH217" s="454"/>
      <c r="AI217" s="454"/>
      <c r="AJ217" s="454"/>
      <c r="AK217" s="454"/>
      <c r="AL217" s="454"/>
      <c r="AM217" s="454"/>
      <c r="AN217" s="454"/>
      <c r="AO217" s="454"/>
      <c r="AP217" s="454"/>
      <c r="AQ217" s="454"/>
      <c r="AR217" s="454"/>
      <c r="AS217" s="454"/>
      <c r="AT217" s="454"/>
      <c r="AU217" s="454"/>
      <c r="AV217" s="454"/>
      <c r="AW217" s="454"/>
      <c r="AX217" s="454"/>
      <c r="AY217" s="486" t="str">
        <f t="shared" si="9"/>
        <v/>
      </c>
      <c r="AZ217" s="487">
        <f t="shared" si="11"/>
        <v>1</v>
      </c>
      <c r="BA217" s="454"/>
      <c r="BB217" s="454"/>
      <c r="BC217" s="454"/>
      <c r="BD217" s="454"/>
      <c r="BE217" s="454"/>
      <c r="BF217" s="454"/>
      <c r="BG217" s="454"/>
      <c r="BH217" s="454"/>
      <c r="BI217" s="454"/>
      <c r="BJ217" s="454"/>
      <c r="BK217" s="454"/>
      <c r="BL217" s="454"/>
      <c r="BM217" s="454"/>
      <c r="BN217" s="454"/>
      <c r="BO217" s="454"/>
      <c r="BP217" s="454"/>
      <c r="BQ217" s="454"/>
      <c r="BR217" s="454"/>
      <c r="BS217" s="454"/>
      <c r="BT217" s="454"/>
      <c r="BU217" s="454"/>
      <c r="BV217" s="454"/>
      <c r="BW217" s="454"/>
      <c r="BX217" s="454"/>
      <c r="BY217" s="454"/>
      <c r="BZ217" s="454"/>
      <c r="CA217" s="454"/>
      <c r="CB217" s="454"/>
      <c r="CC217" s="454"/>
      <c r="CD217" s="454"/>
      <c r="CE217" s="454"/>
      <c r="CF217" s="454"/>
      <c r="CG217" s="454"/>
      <c r="CH217" s="456"/>
      <c r="CI217" s="454"/>
      <c r="CJ217" s="454"/>
      <c r="CK217" s="454"/>
      <c r="CL217" s="454"/>
    </row>
    <row r="218" spans="1:90" s="461" customFormat="1" ht="12" customHeight="1" x14ac:dyDescent="0.15">
      <c r="A218" s="522" t="s">
        <v>2155</v>
      </c>
      <c r="B218" s="467">
        <v>42440</v>
      </c>
      <c r="C218" s="468" t="s">
        <v>1767</v>
      </c>
      <c r="D218" s="468" t="s">
        <v>3881</v>
      </c>
      <c r="E218" s="468" t="s">
        <v>3880</v>
      </c>
      <c r="F218" s="468" t="s">
        <v>788</v>
      </c>
      <c r="G218" s="466">
        <v>7</v>
      </c>
      <c r="H218" s="465">
        <v>6</v>
      </c>
      <c r="I218" s="466"/>
      <c r="J218" s="466"/>
      <c r="K218" s="466">
        <v>8</v>
      </c>
      <c r="L218" s="506">
        <v>15</v>
      </c>
      <c r="M218" s="463">
        <v>45000</v>
      </c>
      <c r="N218" s="468" t="s">
        <v>3882</v>
      </c>
      <c r="O218" s="466">
        <v>4</v>
      </c>
      <c r="P218" s="523">
        <v>-3.5</v>
      </c>
      <c r="Q218" s="462">
        <v>8.2476851851851852E-4</v>
      </c>
      <c r="R218" s="463">
        <v>2700</v>
      </c>
      <c r="S218" s="466"/>
      <c r="T218" s="524"/>
      <c r="W218" s="460"/>
      <c r="AY218" s="486" t="str">
        <f t="shared" si="9"/>
        <v/>
      </c>
      <c r="AZ218" s="487" t="str">
        <f t="shared" si="11"/>
        <v/>
      </c>
      <c r="CH218" s="459"/>
    </row>
    <row r="219" spans="1:90" s="461" customFormat="1" ht="12" customHeight="1" x14ac:dyDescent="0.15">
      <c r="A219" s="522" t="s">
        <v>4301</v>
      </c>
      <c r="B219" s="467">
        <v>42441</v>
      </c>
      <c r="C219" s="468" t="s">
        <v>2744</v>
      </c>
      <c r="D219" s="468" t="s">
        <v>3832</v>
      </c>
      <c r="E219" s="468" t="s">
        <v>3846</v>
      </c>
      <c r="F219" s="468" t="s">
        <v>3685</v>
      </c>
      <c r="G219" s="466">
        <v>1</v>
      </c>
      <c r="H219" s="465">
        <v>5.5</v>
      </c>
      <c r="I219" s="466"/>
      <c r="J219" s="466"/>
      <c r="K219" s="466">
        <v>7</v>
      </c>
      <c r="L219" s="464" t="s">
        <v>431</v>
      </c>
      <c r="M219" s="463">
        <v>4430</v>
      </c>
      <c r="N219" s="468" t="s">
        <v>4006</v>
      </c>
      <c r="O219" s="466">
        <v>4</v>
      </c>
      <c r="P219" s="523">
        <v>-7.25</v>
      </c>
      <c r="Q219" s="462">
        <v>7.8321759259259262E-4</v>
      </c>
      <c r="R219" s="463">
        <v>269</v>
      </c>
      <c r="S219" s="466" t="s">
        <v>625</v>
      </c>
      <c r="T219" s="524"/>
      <c r="W219" s="460"/>
      <c r="AY219" s="486">
        <f t="shared" si="9"/>
        <v>269</v>
      </c>
      <c r="AZ219" s="487" t="str">
        <f t="shared" si="11"/>
        <v/>
      </c>
      <c r="CH219" s="459"/>
    </row>
    <row r="220" spans="1:90" s="469" customFormat="1" ht="12" customHeight="1" x14ac:dyDescent="0.15">
      <c r="A220" s="444" t="s">
        <v>994</v>
      </c>
      <c r="B220" s="445">
        <v>42441</v>
      </c>
      <c r="C220" s="446" t="s">
        <v>3915</v>
      </c>
      <c r="D220" s="446" t="s">
        <v>4307</v>
      </c>
      <c r="E220" s="446" t="s">
        <v>3917</v>
      </c>
      <c r="F220" s="446" t="s">
        <v>3918</v>
      </c>
      <c r="G220" s="447">
        <v>6</v>
      </c>
      <c r="H220" s="448">
        <v>5.5</v>
      </c>
      <c r="I220" s="447"/>
      <c r="J220" s="447"/>
      <c r="K220" s="447">
        <v>9</v>
      </c>
      <c r="L220" s="449">
        <v>2</v>
      </c>
      <c r="M220" s="450">
        <v>10700</v>
      </c>
      <c r="N220" s="446" t="s">
        <v>3763</v>
      </c>
      <c r="O220" s="447">
        <v>1</v>
      </c>
      <c r="P220" s="451" t="s">
        <v>4326</v>
      </c>
      <c r="Q220" s="452">
        <v>7.8819444444444455E-4</v>
      </c>
      <c r="R220" s="450">
        <v>6420</v>
      </c>
      <c r="S220" s="447"/>
      <c r="T220" s="453" t="s">
        <v>3714</v>
      </c>
      <c r="U220" s="454"/>
      <c r="V220" s="454"/>
      <c r="W220" s="455"/>
      <c r="X220" s="454"/>
      <c r="Y220" s="454"/>
      <c r="Z220" s="454"/>
      <c r="AA220" s="454"/>
      <c r="AB220" s="454"/>
      <c r="AC220" s="454"/>
      <c r="AD220" s="454"/>
      <c r="AE220" s="454"/>
      <c r="AF220" s="454"/>
      <c r="AG220" s="454"/>
      <c r="AH220" s="454"/>
      <c r="AI220" s="454"/>
      <c r="AJ220" s="454"/>
      <c r="AK220" s="454"/>
      <c r="AL220" s="454"/>
      <c r="AM220" s="454"/>
      <c r="AN220" s="454"/>
      <c r="AO220" s="454"/>
      <c r="AP220" s="454"/>
      <c r="AQ220" s="454"/>
      <c r="AR220" s="454"/>
      <c r="AS220" s="454"/>
      <c r="AT220" s="454"/>
      <c r="AU220" s="454"/>
      <c r="AV220" s="454"/>
      <c r="AW220" s="454"/>
      <c r="AX220" s="454"/>
      <c r="AY220" s="486" t="str">
        <f t="shared" si="9"/>
        <v/>
      </c>
      <c r="AZ220" s="487">
        <f t="shared" si="11"/>
        <v>1</v>
      </c>
      <c r="BA220" s="454"/>
      <c r="BB220" s="454"/>
      <c r="BC220" s="454"/>
      <c r="BD220" s="454"/>
      <c r="BE220" s="454"/>
      <c r="BF220" s="454"/>
      <c r="BG220" s="454"/>
      <c r="BH220" s="454"/>
      <c r="BI220" s="454"/>
      <c r="BJ220" s="454"/>
      <c r="BK220" s="454"/>
      <c r="BL220" s="454"/>
      <c r="BM220" s="454"/>
      <c r="BN220" s="454"/>
      <c r="BO220" s="454"/>
      <c r="BP220" s="454"/>
      <c r="BQ220" s="454"/>
      <c r="BR220" s="454"/>
      <c r="BS220" s="454"/>
      <c r="BT220" s="454"/>
      <c r="BU220" s="454"/>
      <c r="BV220" s="454"/>
      <c r="BW220" s="454"/>
      <c r="BX220" s="454"/>
      <c r="BY220" s="454"/>
      <c r="BZ220" s="454"/>
      <c r="CA220" s="454"/>
      <c r="CB220" s="454"/>
      <c r="CC220" s="454"/>
      <c r="CD220" s="454"/>
      <c r="CE220" s="454"/>
      <c r="CF220" s="454"/>
      <c r="CG220" s="454"/>
      <c r="CH220" s="456"/>
      <c r="CI220" s="454"/>
      <c r="CJ220" s="454"/>
      <c r="CK220" s="454"/>
      <c r="CL220" s="454"/>
    </row>
    <row r="221" spans="1:90" s="469" customFormat="1" ht="12" customHeight="1" x14ac:dyDescent="0.15">
      <c r="A221" s="471" t="s">
        <v>1529</v>
      </c>
      <c r="B221" s="472">
        <v>42441</v>
      </c>
      <c r="C221" s="471" t="s">
        <v>3617</v>
      </c>
      <c r="D221" s="471" t="s">
        <v>3618</v>
      </c>
      <c r="E221" s="471" t="s">
        <v>4076</v>
      </c>
      <c r="F221" s="471" t="s">
        <v>525</v>
      </c>
      <c r="G221" s="473">
        <v>7</v>
      </c>
      <c r="H221" s="474">
        <v>8.5</v>
      </c>
      <c r="I221" s="475"/>
      <c r="J221" s="475"/>
      <c r="K221" s="473">
        <v>8</v>
      </c>
      <c r="L221" s="458">
        <v>6</v>
      </c>
      <c r="M221" s="476">
        <v>48000</v>
      </c>
      <c r="N221" s="471" t="s">
        <v>4292</v>
      </c>
      <c r="O221" s="477" t="s">
        <v>431</v>
      </c>
      <c r="P221" s="478" t="s">
        <v>431</v>
      </c>
      <c r="Q221" s="479" t="s">
        <v>431</v>
      </c>
      <c r="R221" s="480" t="s">
        <v>431</v>
      </c>
      <c r="S221" s="477"/>
      <c r="T221" s="481" t="s">
        <v>4038</v>
      </c>
      <c r="U221" s="482"/>
      <c r="V221" s="482"/>
      <c r="W221" s="483"/>
      <c r="X221" s="482"/>
      <c r="Y221" s="482"/>
      <c r="Z221" s="482"/>
      <c r="AA221" s="482"/>
      <c r="AB221" s="482"/>
      <c r="AC221" s="482"/>
      <c r="AD221" s="482"/>
      <c r="AE221" s="482"/>
      <c r="AF221" s="482"/>
      <c r="AG221" s="482"/>
      <c r="AH221" s="482"/>
      <c r="AI221" s="482"/>
      <c r="AJ221" s="482"/>
      <c r="AK221" s="482"/>
      <c r="AL221" s="482"/>
      <c r="AM221" s="482"/>
      <c r="AN221" s="482"/>
      <c r="AO221" s="482"/>
      <c r="AP221" s="482"/>
      <c r="AQ221" s="482"/>
      <c r="AR221" s="482"/>
      <c r="AS221" s="482"/>
      <c r="AT221" s="482"/>
      <c r="AU221" s="482"/>
      <c r="AV221" s="482"/>
      <c r="AW221" s="482"/>
      <c r="AX221" s="482"/>
      <c r="AY221" s="486" t="str">
        <f t="shared" si="9"/>
        <v/>
      </c>
      <c r="AZ221" s="487" t="str">
        <f t="shared" si="11"/>
        <v/>
      </c>
      <c r="BA221" s="482"/>
      <c r="BB221" s="482"/>
      <c r="BC221" s="482"/>
      <c r="BD221" s="482"/>
      <c r="BE221" s="482"/>
      <c r="BF221" s="482"/>
      <c r="BG221" s="482"/>
      <c r="BH221" s="482"/>
      <c r="BI221" s="482"/>
      <c r="BJ221" s="482"/>
      <c r="BK221" s="482"/>
      <c r="BL221" s="482"/>
      <c r="BM221" s="482"/>
      <c r="BN221" s="482"/>
      <c r="BO221" s="482"/>
      <c r="BP221" s="482"/>
      <c r="BQ221" s="482"/>
      <c r="BR221" s="482"/>
      <c r="BS221" s="482"/>
      <c r="BT221" s="482"/>
      <c r="BU221" s="482"/>
      <c r="BV221" s="482"/>
      <c r="BW221" s="482"/>
      <c r="BX221" s="482"/>
      <c r="BY221" s="482"/>
      <c r="BZ221" s="482"/>
      <c r="CA221" s="482"/>
      <c r="CB221" s="482"/>
      <c r="CC221" s="482"/>
      <c r="CD221" s="482"/>
      <c r="CE221" s="482"/>
      <c r="CF221" s="482"/>
      <c r="CG221" s="482"/>
      <c r="CH221" s="484"/>
    </row>
    <row r="222" spans="1:90" s="469" customFormat="1" ht="12" customHeight="1" x14ac:dyDescent="0.15">
      <c r="A222" s="471" t="s">
        <v>2172</v>
      </c>
      <c r="B222" s="472">
        <v>42442</v>
      </c>
      <c r="C222" s="471" t="s">
        <v>3707</v>
      </c>
      <c r="D222" s="471" t="s">
        <v>3708</v>
      </c>
      <c r="E222" s="471" t="s">
        <v>4325</v>
      </c>
      <c r="F222" s="471" t="s">
        <v>4077</v>
      </c>
      <c r="G222" s="473">
        <v>3</v>
      </c>
      <c r="H222" s="474">
        <v>6</v>
      </c>
      <c r="I222" s="475"/>
      <c r="J222" s="475"/>
      <c r="K222" s="473">
        <v>7</v>
      </c>
      <c r="L222" s="458">
        <v>4</v>
      </c>
      <c r="M222" s="476">
        <v>7000</v>
      </c>
      <c r="N222" s="471" t="s">
        <v>3739</v>
      </c>
      <c r="O222" s="477" t="s">
        <v>431</v>
      </c>
      <c r="P222" s="478" t="s">
        <v>431</v>
      </c>
      <c r="Q222" s="479" t="s">
        <v>431</v>
      </c>
      <c r="R222" s="480" t="s">
        <v>431</v>
      </c>
      <c r="S222" s="477"/>
      <c r="T222" s="481" t="s">
        <v>4303</v>
      </c>
      <c r="U222" s="482"/>
      <c r="V222" s="482"/>
      <c r="W222" s="483"/>
      <c r="X222" s="482"/>
      <c r="Y222" s="482"/>
      <c r="Z222" s="482"/>
      <c r="AA222" s="482"/>
      <c r="AB222" s="482"/>
      <c r="AC222" s="482"/>
      <c r="AD222" s="482"/>
      <c r="AE222" s="482"/>
      <c r="AF222" s="482"/>
      <c r="AG222" s="482"/>
      <c r="AH222" s="482"/>
      <c r="AI222" s="482"/>
      <c r="AJ222" s="482"/>
      <c r="AK222" s="482"/>
      <c r="AL222" s="482"/>
      <c r="AM222" s="482"/>
      <c r="AN222" s="482"/>
      <c r="AO222" s="482"/>
      <c r="AP222" s="482"/>
      <c r="AQ222" s="482"/>
      <c r="AR222" s="482"/>
      <c r="AS222" s="482"/>
      <c r="AT222" s="482"/>
      <c r="AU222" s="482"/>
      <c r="AV222" s="482"/>
      <c r="AW222" s="482"/>
      <c r="AX222" s="482"/>
      <c r="AY222" s="486" t="str">
        <f t="shared" si="9"/>
        <v/>
      </c>
      <c r="AZ222" s="487" t="str">
        <f t="shared" si="11"/>
        <v/>
      </c>
      <c r="BA222" s="482"/>
      <c r="BB222" s="482"/>
      <c r="BC222" s="482"/>
      <c r="BD222" s="482"/>
      <c r="BE222" s="482"/>
      <c r="BF222" s="482"/>
      <c r="BG222" s="482"/>
      <c r="BH222" s="482"/>
      <c r="BI222" s="482"/>
      <c r="BJ222" s="482"/>
      <c r="BK222" s="482"/>
      <c r="BL222" s="482"/>
      <c r="BM222" s="482"/>
      <c r="BN222" s="482"/>
      <c r="BO222" s="482"/>
      <c r="BP222" s="482"/>
      <c r="BQ222" s="482"/>
      <c r="BR222" s="482"/>
      <c r="BS222" s="482"/>
      <c r="BT222" s="482"/>
      <c r="BU222" s="482"/>
      <c r="BV222" s="482"/>
      <c r="BW222" s="482"/>
      <c r="BX222" s="482"/>
      <c r="BY222" s="482"/>
      <c r="BZ222" s="482"/>
      <c r="CA222" s="482"/>
      <c r="CB222" s="482"/>
      <c r="CC222" s="482"/>
      <c r="CD222" s="482"/>
      <c r="CE222" s="482"/>
      <c r="CF222" s="482"/>
      <c r="CG222" s="482"/>
      <c r="CH222" s="484"/>
    </row>
    <row r="223" spans="1:90" s="461" customFormat="1" ht="12" customHeight="1" x14ac:dyDescent="0.15">
      <c r="A223" s="522" t="s">
        <v>2459</v>
      </c>
      <c r="B223" s="467">
        <v>42442</v>
      </c>
      <c r="C223" s="468" t="s">
        <v>3293</v>
      </c>
      <c r="D223" s="468" t="s">
        <v>3294</v>
      </c>
      <c r="E223" s="468" t="s">
        <v>4308</v>
      </c>
      <c r="F223" s="468" t="s">
        <v>788</v>
      </c>
      <c r="G223" s="466">
        <v>6</v>
      </c>
      <c r="H223" s="465">
        <v>8</v>
      </c>
      <c r="I223" s="466"/>
      <c r="J223" s="466"/>
      <c r="K223" s="466">
        <v>8</v>
      </c>
      <c r="L223" s="506">
        <v>12</v>
      </c>
      <c r="M223" s="463">
        <v>42000</v>
      </c>
      <c r="N223" s="468" t="s">
        <v>4293</v>
      </c>
      <c r="O223" s="466">
        <v>3</v>
      </c>
      <c r="P223" s="523">
        <v>-5</v>
      </c>
      <c r="Q223" s="462">
        <v>8.3148148148148155E-4</v>
      </c>
      <c r="R223" s="463">
        <v>6006</v>
      </c>
      <c r="S223" s="466"/>
      <c r="T223" s="524"/>
      <c r="W223" s="460"/>
      <c r="AY223" s="486" t="str">
        <f t="shared" si="9"/>
        <v/>
      </c>
      <c r="AZ223" s="487" t="str">
        <f t="shared" si="11"/>
        <v/>
      </c>
      <c r="CH223" s="459"/>
    </row>
    <row r="224" spans="1:90" s="461" customFormat="1" ht="12" customHeight="1" x14ac:dyDescent="0.15">
      <c r="A224" s="522" t="s">
        <v>2480</v>
      </c>
      <c r="B224" s="467">
        <v>42442</v>
      </c>
      <c r="C224" s="468" t="s">
        <v>3992</v>
      </c>
      <c r="D224" s="468" t="s">
        <v>3990</v>
      </c>
      <c r="E224" s="468" t="s">
        <v>4309</v>
      </c>
      <c r="F224" s="468" t="s">
        <v>540</v>
      </c>
      <c r="G224" s="466">
        <v>9</v>
      </c>
      <c r="H224" s="465">
        <v>8</v>
      </c>
      <c r="I224" s="466"/>
      <c r="J224" s="466"/>
      <c r="K224" s="466">
        <v>9</v>
      </c>
      <c r="L224" s="506">
        <v>20</v>
      </c>
      <c r="M224" s="463">
        <v>44000</v>
      </c>
      <c r="N224" s="468" t="s">
        <v>3739</v>
      </c>
      <c r="O224" s="466">
        <v>9</v>
      </c>
      <c r="P224" s="523" t="s">
        <v>4338</v>
      </c>
      <c r="Q224" s="462">
        <v>1.1152777777777778E-3</v>
      </c>
      <c r="R224" s="463">
        <v>830</v>
      </c>
      <c r="S224" s="466"/>
      <c r="T224" s="524"/>
      <c r="W224" s="460"/>
      <c r="AY224" s="486" t="str">
        <f t="shared" si="9"/>
        <v/>
      </c>
      <c r="AZ224" s="487" t="str">
        <f t="shared" si="11"/>
        <v/>
      </c>
      <c r="CH224" s="459"/>
    </row>
    <row r="225" spans="1:90" s="469" customFormat="1" ht="12" customHeight="1" x14ac:dyDescent="0.15">
      <c r="A225" s="444" t="s">
        <v>2127</v>
      </c>
      <c r="B225" s="445">
        <v>42445</v>
      </c>
      <c r="C225" s="446" t="s">
        <v>1838</v>
      </c>
      <c r="D225" s="446" t="s">
        <v>3842</v>
      </c>
      <c r="E225" s="446" t="s">
        <v>3843</v>
      </c>
      <c r="F225" s="446" t="s">
        <v>993</v>
      </c>
      <c r="G225" s="447">
        <v>8</v>
      </c>
      <c r="H225" s="448">
        <v>6.5</v>
      </c>
      <c r="I225" s="447"/>
      <c r="J225" s="447"/>
      <c r="K225" s="447">
        <v>9</v>
      </c>
      <c r="L225" s="449">
        <f>5/2</f>
        <v>2.5</v>
      </c>
      <c r="M225" s="450">
        <v>10000</v>
      </c>
      <c r="N225" s="446" t="s">
        <v>4078</v>
      </c>
      <c r="O225" s="447">
        <v>1</v>
      </c>
      <c r="P225" s="451">
        <v>4</v>
      </c>
      <c r="Q225" s="452">
        <v>9.4780092592592583E-4</v>
      </c>
      <c r="R225" s="450">
        <v>5880</v>
      </c>
      <c r="S225" s="447"/>
      <c r="T225" s="453" t="s">
        <v>3714</v>
      </c>
      <c r="U225" s="454"/>
      <c r="V225" s="454"/>
      <c r="W225" s="455"/>
      <c r="X225" s="454"/>
      <c r="Y225" s="454"/>
      <c r="Z225" s="454"/>
      <c r="AA225" s="454"/>
      <c r="AB225" s="454"/>
      <c r="AC225" s="454"/>
      <c r="AD225" s="454"/>
      <c r="AE225" s="454"/>
      <c r="AF225" s="454"/>
      <c r="AG225" s="454"/>
      <c r="AH225" s="454"/>
      <c r="AI225" s="454"/>
      <c r="AJ225" s="454"/>
      <c r="AK225" s="454"/>
      <c r="AL225" s="454"/>
      <c r="AM225" s="454"/>
      <c r="AN225" s="454"/>
      <c r="AO225" s="454"/>
      <c r="AP225" s="454"/>
      <c r="AQ225" s="454"/>
      <c r="AR225" s="454"/>
      <c r="AS225" s="454"/>
      <c r="AT225" s="454"/>
      <c r="AU225" s="454"/>
      <c r="AV225" s="454"/>
      <c r="AW225" s="454"/>
      <c r="AX225" s="454"/>
      <c r="AY225" s="486" t="str">
        <f t="shared" si="9"/>
        <v/>
      </c>
      <c r="AZ225" s="487">
        <f t="shared" si="11"/>
        <v>1</v>
      </c>
      <c r="BA225" s="454"/>
      <c r="BB225" s="454"/>
      <c r="BC225" s="454"/>
      <c r="BD225" s="454"/>
      <c r="BE225" s="454"/>
      <c r="BF225" s="454"/>
      <c r="BG225" s="454"/>
      <c r="BH225" s="454"/>
      <c r="BI225" s="454"/>
      <c r="BJ225" s="454"/>
      <c r="BK225" s="454"/>
      <c r="BL225" s="454"/>
      <c r="BM225" s="454"/>
      <c r="BN225" s="454"/>
      <c r="BO225" s="454"/>
      <c r="BP225" s="454"/>
      <c r="BQ225" s="454"/>
      <c r="BR225" s="454"/>
      <c r="BS225" s="454"/>
      <c r="BT225" s="454"/>
      <c r="BU225" s="454"/>
      <c r="BV225" s="454"/>
      <c r="BW225" s="454"/>
      <c r="BX225" s="454"/>
      <c r="BY225" s="454"/>
      <c r="BZ225" s="454"/>
      <c r="CA225" s="454"/>
      <c r="CB225" s="454"/>
      <c r="CC225" s="454"/>
      <c r="CD225" s="454"/>
      <c r="CE225" s="454"/>
      <c r="CF225" s="454"/>
      <c r="CG225" s="454"/>
      <c r="CH225" s="456"/>
      <c r="CI225" s="454"/>
      <c r="CJ225" s="454"/>
      <c r="CK225" s="454"/>
      <c r="CL225" s="454"/>
    </row>
    <row r="226" spans="1:90" s="461" customFormat="1" ht="12" customHeight="1" x14ac:dyDescent="0.15">
      <c r="A226" s="522" t="s">
        <v>36</v>
      </c>
      <c r="B226" s="467">
        <v>42446</v>
      </c>
      <c r="C226" s="468" t="s">
        <v>4141</v>
      </c>
      <c r="D226" s="468" t="s">
        <v>4142</v>
      </c>
      <c r="E226" s="468" t="s">
        <v>4149</v>
      </c>
      <c r="F226" s="468" t="s">
        <v>439</v>
      </c>
      <c r="G226" s="466">
        <v>1</v>
      </c>
      <c r="H226" s="465">
        <v>6</v>
      </c>
      <c r="I226" s="466"/>
      <c r="J226" s="466"/>
      <c r="K226" s="466">
        <v>9</v>
      </c>
      <c r="L226" s="506">
        <v>8</v>
      </c>
      <c r="M226" s="463">
        <v>6000</v>
      </c>
      <c r="N226" s="468" t="s">
        <v>4290</v>
      </c>
      <c r="O226" s="466">
        <v>6</v>
      </c>
      <c r="P226" s="523">
        <v>-2.5</v>
      </c>
      <c r="Q226" s="462">
        <v>8.2337962962962963E-4</v>
      </c>
      <c r="R226" s="463">
        <v>174</v>
      </c>
      <c r="S226" s="466"/>
      <c r="T226" s="524" t="s">
        <v>4353</v>
      </c>
      <c r="W226" s="460"/>
      <c r="AY226" s="486" t="str">
        <f t="shared" si="9"/>
        <v/>
      </c>
      <c r="AZ226" s="487" t="str">
        <f t="shared" si="11"/>
        <v/>
      </c>
      <c r="CH226" s="459"/>
    </row>
    <row r="227" spans="1:90" s="461" customFormat="1" ht="12" customHeight="1" x14ac:dyDescent="0.15">
      <c r="A227" s="522" t="s">
        <v>3694</v>
      </c>
      <c r="B227" s="467">
        <v>42446</v>
      </c>
      <c r="C227" s="468" t="s">
        <v>3719</v>
      </c>
      <c r="D227" s="468" t="s">
        <v>3721</v>
      </c>
      <c r="E227" s="468" t="s">
        <v>3720</v>
      </c>
      <c r="F227" s="468" t="s">
        <v>993</v>
      </c>
      <c r="G227" s="466">
        <v>8</v>
      </c>
      <c r="H227" s="465">
        <v>4.5</v>
      </c>
      <c r="I227" s="466"/>
      <c r="J227" s="466"/>
      <c r="K227" s="466">
        <v>8</v>
      </c>
      <c r="L227" s="506">
        <v>4</v>
      </c>
      <c r="M227" s="463">
        <v>23000</v>
      </c>
      <c r="N227" s="468" t="s">
        <v>3718</v>
      </c>
      <c r="O227" s="466">
        <v>2</v>
      </c>
      <c r="P227" s="523">
        <v>-1.5</v>
      </c>
      <c r="Q227" s="462">
        <v>9.3252314814814814E-4</v>
      </c>
      <c r="R227" s="463">
        <v>4560</v>
      </c>
      <c r="S227" s="466"/>
      <c r="T227" s="524"/>
      <c r="W227" s="460"/>
      <c r="AY227" s="486" t="str">
        <f t="shared" si="9"/>
        <v/>
      </c>
      <c r="AZ227" s="487" t="str">
        <f t="shared" si="11"/>
        <v/>
      </c>
      <c r="CH227" s="459"/>
    </row>
    <row r="228" spans="1:90" s="461" customFormat="1" ht="12" customHeight="1" x14ac:dyDescent="0.15">
      <c r="A228" s="522" t="s">
        <v>3777</v>
      </c>
      <c r="B228" s="467">
        <v>42447</v>
      </c>
      <c r="C228" s="468" t="s">
        <v>3781</v>
      </c>
      <c r="D228" s="468" t="s">
        <v>3779</v>
      </c>
      <c r="E228" s="468" t="s">
        <v>3966</v>
      </c>
      <c r="F228" s="468" t="s">
        <v>3775</v>
      </c>
      <c r="G228" s="466">
        <v>1</v>
      </c>
      <c r="H228" s="465">
        <v>5.5</v>
      </c>
      <c r="I228" s="466"/>
      <c r="J228" s="466"/>
      <c r="K228" s="466">
        <v>12</v>
      </c>
      <c r="L228" s="464" t="s">
        <v>431</v>
      </c>
      <c r="M228" s="463">
        <v>52529</v>
      </c>
      <c r="N228" s="468" t="s">
        <v>3778</v>
      </c>
      <c r="O228" s="466">
        <v>6</v>
      </c>
      <c r="P228" s="523">
        <v>-4.5</v>
      </c>
      <c r="Q228" s="462">
        <v>7.6851851851851853E-4</v>
      </c>
      <c r="R228" s="463">
        <v>232</v>
      </c>
      <c r="S228" s="466" t="s">
        <v>625</v>
      </c>
      <c r="T228" s="524"/>
      <c r="W228" s="460"/>
      <c r="AY228" s="486">
        <f t="shared" si="9"/>
        <v>232</v>
      </c>
      <c r="AZ228" s="487" t="str">
        <f t="shared" si="11"/>
        <v/>
      </c>
      <c r="CH228" s="459"/>
    </row>
    <row r="229" spans="1:90" s="461" customFormat="1" ht="12" customHeight="1" x14ac:dyDescent="0.15">
      <c r="A229" s="522" t="s">
        <v>4175</v>
      </c>
      <c r="B229" s="467">
        <v>42447</v>
      </c>
      <c r="C229" s="468" t="s">
        <v>2605</v>
      </c>
      <c r="D229" s="468" t="s">
        <v>4177</v>
      </c>
      <c r="E229" s="468" t="s">
        <v>4178</v>
      </c>
      <c r="F229" s="468" t="s">
        <v>3686</v>
      </c>
      <c r="G229" s="466">
        <v>5</v>
      </c>
      <c r="H229" s="465">
        <v>8</v>
      </c>
      <c r="I229" s="466"/>
      <c r="J229" s="466"/>
      <c r="K229" s="466">
        <v>9</v>
      </c>
      <c r="L229" s="464" t="s">
        <v>431</v>
      </c>
      <c r="M229" s="463">
        <v>7147</v>
      </c>
      <c r="N229" s="468" t="s">
        <v>3653</v>
      </c>
      <c r="O229" s="466">
        <v>5</v>
      </c>
      <c r="P229" s="523">
        <v>-12</v>
      </c>
      <c r="Q229" s="462">
        <v>1.1370370370370369E-3</v>
      </c>
      <c r="R229" s="463">
        <v>99</v>
      </c>
      <c r="S229" s="466" t="s">
        <v>625</v>
      </c>
      <c r="T229" s="524"/>
      <c r="W229" s="460"/>
      <c r="AY229" s="486">
        <f t="shared" si="9"/>
        <v>99</v>
      </c>
      <c r="AZ229" s="487" t="str">
        <f t="shared" si="11"/>
        <v/>
      </c>
      <c r="CH229" s="459"/>
    </row>
    <row r="230" spans="1:90" s="461" customFormat="1" ht="12" customHeight="1" x14ac:dyDescent="0.15">
      <c r="A230" s="522" t="s">
        <v>1978</v>
      </c>
      <c r="B230" s="467">
        <v>42448</v>
      </c>
      <c r="C230" s="468" t="s">
        <v>4342</v>
      </c>
      <c r="D230" s="468" t="s">
        <v>4343</v>
      </c>
      <c r="E230" s="468" t="s">
        <v>4344</v>
      </c>
      <c r="F230" s="468" t="s">
        <v>4345</v>
      </c>
      <c r="G230" s="466">
        <v>8</v>
      </c>
      <c r="H230" s="465">
        <v>6</v>
      </c>
      <c r="I230" s="466"/>
      <c r="J230" s="466"/>
      <c r="K230" s="466">
        <v>13</v>
      </c>
      <c r="L230" s="464" t="s">
        <v>431</v>
      </c>
      <c r="M230" s="463">
        <v>64849</v>
      </c>
      <c r="N230" s="468" t="s">
        <v>4074</v>
      </c>
      <c r="O230" s="466">
        <v>12</v>
      </c>
      <c r="P230" s="523">
        <v>-21</v>
      </c>
      <c r="Q230" s="462">
        <v>8.4722222222222219E-4</v>
      </c>
      <c r="R230" s="463">
        <v>0</v>
      </c>
      <c r="S230" s="466" t="s">
        <v>625</v>
      </c>
      <c r="T230" s="524"/>
      <c r="W230" s="460"/>
      <c r="AY230" s="486">
        <f t="shared" si="9"/>
        <v>0</v>
      </c>
      <c r="AZ230" s="487" t="str">
        <f t="shared" si="11"/>
        <v/>
      </c>
      <c r="CH230" s="459"/>
    </row>
    <row r="231" spans="1:90" s="461" customFormat="1" ht="12" customHeight="1" x14ac:dyDescent="0.15">
      <c r="A231" s="522" t="s">
        <v>3266</v>
      </c>
      <c r="B231" s="467">
        <v>42448</v>
      </c>
      <c r="C231" s="468" t="s">
        <v>4333</v>
      </c>
      <c r="D231" s="468" t="s">
        <v>3705</v>
      </c>
      <c r="E231" s="468" t="s">
        <v>3856</v>
      </c>
      <c r="F231" s="468" t="s">
        <v>4171</v>
      </c>
      <c r="G231" s="466">
        <v>4</v>
      </c>
      <c r="H231" s="465">
        <v>6</v>
      </c>
      <c r="I231" s="466"/>
      <c r="J231" s="466"/>
      <c r="K231" s="466">
        <v>7</v>
      </c>
      <c r="L231" s="506">
        <v>2</v>
      </c>
      <c r="M231" s="463">
        <v>50000</v>
      </c>
      <c r="N231" s="468" t="s">
        <v>3879</v>
      </c>
      <c r="O231" s="466">
        <v>2</v>
      </c>
      <c r="P231" s="523">
        <v>-2.75</v>
      </c>
      <c r="Q231" s="462">
        <v>8.2418981481481492E-4</v>
      </c>
      <c r="R231" s="463">
        <v>14000</v>
      </c>
      <c r="S231" s="466"/>
      <c r="T231" s="524" t="s">
        <v>3714</v>
      </c>
      <c r="W231" s="460"/>
      <c r="AY231" s="486" t="str">
        <f t="shared" si="9"/>
        <v/>
      </c>
      <c r="AZ231" s="487" t="str">
        <f t="shared" si="11"/>
        <v/>
      </c>
      <c r="CH231" s="459"/>
    </row>
    <row r="232" spans="1:90" s="461" customFormat="1" ht="12" customHeight="1" x14ac:dyDescent="0.15">
      <c r="A232" s="522" t="s">
        <v>1557</v>
      </c>
      <c r="B232" s="467">
        <v>42448</v>
      </c>
      <c r="C232" s="468" t="s">
        <v>4250</v>
      </c>
      <c r="D232" s="468" t="s">
        <v>4247</v>
      </c>
      <c r="E232" s="468" t="s">
        <v>4248</v>
      </c>
      <c r="F232" s="468" t="s">
        <v>3262</v>
      </c>
      <c r="G232" s="466">
        <v>1</v>
      </c>
      <c r="H232" s="465">
        <v>6</v>
      </c>
      <c r="I232" s="466"/>
      <c r="J232" s="466"/>
      <c r="K232" s="466">
        <v>6</v>
      </c>
      <c r="L232" s="506">
        <f>5/2</f>
        <v>2.5</v>
      </c>
      <c r="M232" s="463">
        <v>6900</v>
      </c>
      <c r="N232" s="468" t="s">
        <v>4249</v>
      </c>
      <c r="O232" s="466">
        <v>2</v>
      </c>
      <c r="P232" s="523">
        <v>-1.5</v>
      </c>
      <c r="Q232" s="462">
        <v>8.495370370370371E-4</v>
      </c>
      <c r="R232" s="463">
        <v>1380</v>
      </c>
      <c r="S232" s="466"/>
      <c r="T232" s="524" t="s">
        <v>3755</v>
      </c>
      <c r="W232" s="460"/>
      <c r="AY232" s="486" t="str">
        <f t="shared" si="9"/>
        <v/>
      </c>
      <c r="AZ232" s="487" t="str">
        <f t="shared" si="11"/>
        <v/>
      </c>
      <c r="CH232" s="459"/>
    </row>
    <row r="233" spans="1:90" s="461" customFormat="1" ht="12" customHeight="1" x14ac:dyDescent="0.15">
      <c r="A233" s="522" t="s">
        <v>3064</v>
      </c>
      <c r="B233" s="467">
        <v>42448</v>
      </c>
      <c r="C233" s="468" t="s">
        <v>2511</v>
      </c>
      <c r="D233" s="468" t="s">
        <v>3877</v>
      </c>
      <c r="E233" s="468" t="s">
        <v>4337</v>
      </c>
      <c r="F233" s="468" t="s">
        <v>788</v>
      </c>
      <c r="G233" s="466">
        <v>6</v>
      </c>
      <c r="H233" s="465">
        <v>6</v>
      </c>
      <c r="I233" s="466"/>
      <c r="J233" s="466"/>
      <c r="K233" s="466">
        <v>8</v>
      </c>
      <c r="L233" s="506">
        <v>20</v>
      </c>
      <c r="M233" s="463">
        <v>40000</v>
      </c>
      <c r="N233" s="468" t="s">
        <v>3879</v>
      </c>
      <c r="O233" s="466">
        <v>5</v>
      </c>
      <c r="P233" s="523">
        <v>-13.5</v>
      </c>
      <c r="Q233" s="462">
        <v>8.3981481481481483E-4</v>
      </c>
      <c r="R233" s="463">
        <v>1200</v>
      </c>
      <c r="S233" s="466"/>
      <c r="T233" s="524"/>
      <c r="W233" s="460"/>
      <c r="AY233" s="486" t="str">
        <f t="shared" si="9"/>
        <v/>
      </c>
      <c r="AZ233" s="487" t="str">
        <f t="shared" si="11"/>
        <v/>
      </c>
      <c r="CH233" s="459"/>
    </row>
    <row r="234" spans="1:90" s="461" customFormat="1" ht="12" customHeight="1" x14ac:dyDescent="0.15">
      <c r="A234" s="522" t="s">
        <v>3933</v>
      </c>
      <c r="B234" s="467">
        <v>42448</v>
      </c>
      <c r="C234" s="468" t="s">
        <v>3953</v>
      </c>
      <c r="D234" s="468" t="s">
        <v>3947</v>
      </c>
      <c r="E234" s="468" t="s">
        <v>4243</v>
      </c>
      <c r="F234" s="468" t="s">
        <v>3685</v>
      </c>
      <c r="G234" s="466">
        <v>9</v>
      </c>
      <c r="H234" s="465">
        <v>6.5</v>
      </c>
      <c r="I234" s="466"/>
      <c r="J234" s="466" t="s">
        <v>4371</v>
      </c>
      <c r="K234" s="466">
        <v>13</v>
      </c>
      <c r="L234" s="464" t="s">
        <v>431</v>
      </c>
      <c r="M234" s="463">
        <v>2962</v>
      </c>
      <c r="N234" s="468" t="s">
        <v>3348</v>
      </c>
      <c r="O234" s="466">
        <v>10</v>
      </c>
      <c r="P234" s="523">
        <v>-17.25</v>
      </c>
      <c r="Q234" s="462">
        <v>9.1655092592592602E-4</v>
      </c>
      <c r="R234" s="463">
        <v>65</v>
      </c>
      <c r="S234" s="466" t="s">
        <v>625</v>
      </c>
      <c r="T234" s="524"/>
      <c r="W234" s="460"/>
      <c r="AY234" s="486">
        <f t="shared" si="9"/>
        <v>65</v>
      </c>
      <c r="AZ234" s="487" t="str">
        <f t="shared" si="11"/>
        <v/>
      </c>
      <c r="CH234" s="459"/>
    </row>
    <row r="235" spans="1:90" s="469" customFormat="1" ht="12" customHeight="1" x14ac:dyDescent="0.15">
      <c r="A235" s="471" t="s">
        <v>2401</v>
      </c>
      <c r="B235" s="472">
        <v>42448</v>
      </c>
      <c r="C235" s="471" t="s">
        <v>3704</v>
      </c>
      <c r="D235" s="471" t="s">
        <v>3705</v>
      </c>
      <c r="E235" s="471" t="s">
        <v>3188</v>
      </c>
      <c r="F235" s="471" t="s">
        <v>439</v>
      </c>
      <c r="G235" s="473">
        <v>8</v>
      </c>
      <c r="H235" s="474">
        <v>8.5</v>
      </c>
      <c r="I235" s="475"/>
      <c r="J235" s="475"/>
      <c r="K235" s="473">
        <v>10</v>
      </c>
      <c r="L235" s="485" t="s">
        <v>431</v>
      </c>
      <c r="M235" s="476">
        <v>350000</v>
      </c>
      <c r="N235" s="471" t="s">
        <v>4335</v>
      </c>
      <c r="O235" s="477" t="s">
        <v>431</v>
      </c>
      <c r="P235" s="478" t="s">
        <v>431</v>
      </c>
      <c r="Q235" s="479" t="s">
        <v>431</v>
      </c>
      <c r="R235" s="480" t="s">
        <v>431</v>
      </c>
      <c r="S235" s="477"/>
      <c r="T235" s="481" t="s">
        <v>4110</v>
      </c>
      <c r="U235" s="482"/>
      <c r="V235" s="482"/>
      <c r="W235" s="483"/>
      <c r="X235" s="482"/>
      <c r="Y235" s="482"/>
      <c r="Z235" s="482"/>
      <c r="AA235" s="482"/>
      <c r="AB235" s="482"/>
      <c r="AC235" s="482"/>
      <c r="AD235" s="482"/>
      <c r="AE235" s="482"/>
      <c r="AF235" s="482"/>
      <c r="AG235" s="482"/>
      <c r="AH235" s="482"/>
      <c r="AI235" s="482"/>
      <c r="AJ235" s="482"/>
      <c r="AK235" s="482"/>
      <c r="AL235" s="482"/>
      <c r="AM235" s="482"/>
      <c r="AN235" s="482"/>
      <c r="AO235" s="482"/>
      <c r="AP235" s="482"/>
      <c r="AQ235" s="482"/>
      <c r="AR235" s="482"/>
      <c r="AS235" s="482"/>
      <c r="AT235" s="482"/>
      <c r="AU235" s="482"/>
      <c r="AV235" s="482"/>
      <c r="AW235" s="482"/>
      <c r="AX235" s="482"/>
      <c r="AY235" s="486" t="str">
        <f t="shared" si="9"/>
        <v/>
      </c>
      <c r="AZ235" s="487" t="str">
        <f t="shared" si="11"/>
        <v/>
      </c>
      <c r="BA235" s="482"/>
      <c r="BB235" s="482"/>
      <c r="BC235" s="482"/>
      <c r="BD235" s="482"/>
      <c r="BE235" s="482"/>
      <c r="BF235" s="482"/>
      <c r="BG235" s="482"/>
      <c r="BH235" s="482"/>
      <c r="BI235" s="482"/>
      <c r="BJ235" s="482"/>
      <c r="BK235" s="482"/>
      <c r="BL235" s="482"/>
      <c r="BM235" s="482"/>
      <c r="BN235" s="482"/>
      <c r="BO235" s="482"/>
      <c r="BP235" s="482"/>
      <c r="BQ235" s="482"/>
      <c r="BR235" s="482"/>
      <c r="BS235" s="482"/>
      <c r="BT235" s="482"/>
      <c r="BU235" s="482"/>
      <c r="BV235" s="482"/>
      <c r="BW235" s="482"/>
      <c r="BX235" s="482"/>
      <c r="BY235" s="482"/>
      <c r="BZ235" s="482"/>
      <c r="CA235" s="482"/>
      <c r="CB235" s="482"/>
      <c r="CC235" s="482"/>
      <c r="CD235" s="482"/>
      <c r="CE235" s="482"/>
      <c r="CF235" s="482"/>
      <c r="CG235" s="482"/>
      <c r="CH235" s="484"/>
    </row>
    <row r="236" spans="1:90" s="469" customFormat="1" ht="12" customHeight="1" x14ac:dyDescent="0.15">
      <c r="A236" s="471" t="s">
        <v>321</v>
      </c>
      <c r="B236" s="472">
        <v>42448</v>
      </c>
      <c r="C236" s="471" t="s">
        <v>4227</v>
      </c>
      <c r="D236" s="471" t="s">
        <v>4228</v>
      </c>
      <c r="E236" s="471" t="s">
        <v>3188</v>
      </c>
      <c r="F236" s="471" t="s">
        <v>788</v>
      </c>
      <c r="G236" s="473" t="s">
        <v>3188</v>
      </c>
      <c r="H236" s="474">
        <v>8.5</v>
      </c>
      <c r="I236" s="475"/>
      <c r="J236" s="475"/>
      <c r="K236" s="473" t="s">
        <v>3188</v>
      </c>
      <c r="L236" s="485" t="s">
        <v>431</v>
      </c>
      <c r="M236" s="476">
        <v>75000</v>
      </c>
      <c r="N236" s="471" t="s">
        <v>4229</v>
      </c>
      <c r="O236" s="477" t="s">
        <v>431</v>
      </c>
      <c r="P236" s="478" t="s">
        <v>431</v>
      </c>
      <c r="Q236" s="479" t="s">
        <v>431</v>
      </c>
      <c r="R236" s="480" t="s">
        <v>431</v>
      </c>
      <c r="S236" s="477"/>
      <c r="T236" s="481" t="s">
        <v>4354</v>
      </c>
      <c r="U236" s="482"/>
      <c r="V236" s="482"/>
      <c r="W236" s="483"/>
      <c r="X236" s="482"/>
      <c r="Y236" s="482"/>
      <c r="Z236" s="482"/>
      <c r="AA236" s="482"/>
      <c r="AB236" s="482"/>
      <c r="AC236" s="482"/>
      <c r="AD236" s="482"/>
      <c r="AE236" s="482"/>
      <c r="AF236" s="482"/>
      <c r="AG236" s="482"/>
      <c r="AH236" s="482"/>
      <c r="AI236" s="482"/>
      <c r="AJ236" s="482"/>
      <c r="AK236" s="482"/>
      <c r="AL236" s="482"/>
      <c r="AM236" s="482"/>
      <c r="AN236" s="482"/>
      <c r="AO236" s="482"/>
      <c r="AP236" s="482"/>
      <c r="AQ236" s="482"/>
      <c r="AR236" s="482"/>
      <c r="AS236" s="482"/>
      <c r="AT236" s="482"/>
      <c r="AU236" s="482"/>
      <c r="AV236" s="482"/>
      <c r="AW236" s="482"/>
      <c r="AX236" s="482"/>
      <c r="AY236" s="486" t="str">
        <f t="shared" si="9"/>
        <v/>
      </c>
      <c r="AZ236" s="487" t="str">
        <f t="shared" si="11"/>
        <v/>
      </c>
      <c r="BA236" s="482"/>
      <c r="BB236" s="482"/>
      <c r="BC236" s="482"/>
      <c r="BD236" s="482"/>
      <c r="BE236" s="482"/>
      <c r="BF236" s="482"/>
      <c r="BG236" s="482"/>
      <c r="BH236" s="482"/>
      <c r="BI236" s="482"/>
      <c r="BJ236" s="482"/>
      <c r="BK236" s="482"/>
      <c r="BL236" s="482"/>
      <c r="BM236" s="482"/>
      <c r="BN236" s="482"/>
      <c r="BO236" s="482"/>
      <c r="BP236" s="482"/>
      <c r="BQ236" s="482"/>
      <c r="BR236" s="482"/>
      <c r="BS236" s="482"/>
      <c r="BT236" s="482"/>
      <c r="BU236" s="482"/>
      <c r="BV236" s="482"/>
      <c r="BW236" s="482"/>
      <c r="BX236" s="482"/>
      <c r="BY236" s="482"/>
      <c r="BZ236" s="482"/>
      <c r="CA236" s="482"/>
      <c r="CB236" s="482"/>
      <c r="CC236" s="482"/>
      <c r="CD236" s="482"/>
      <c r="CE236" s="482"/>
      <c r="CF236" s="482"/>
      <c r="CG236" s="482"/>
      <c r="CH236" s="484"/>
    </row>
    <row r="237" spans="1:90" s="461" customFormat="1" ht="12" customHeight="1" x14ac:dyDescent="0.15">
      <c r="A237" s="522" t="s">
        <v>3310</v>
      </c>
      <c r="B237" s="467">
        <v>42448</v>
      </c>
      <c r="C237" s="468" t="s">
        <v>3311</v>
      </c>
      <c r="D237" s="468" t="s">
        <v>3485</v>
      </c>
      <c r="E237" s="468" t="s">
        <v>3695</v>
      </c>
      <c r="F237" s="468" t="s">
        <v>3685</v>
      </c>
      <c r="G237" s="466">
        <v>10</v>
      </c>
      <c r="H237" s="465">
        <v>12.5</v>
      </c>
      <c r="I237" s="466"/>
      <c r="J237" s="466" t="s">
        <v>4371</v>
      </c>
      <c r="K237" s="466">
        <v>4</v>
      </c>
      <c r="L237" s="465" t="s">
        <v>431</v>
      </c>
      <c r="M237" s="463">
        <v>41109</v>
      </c>
      <c r="N237" s="468" t="s">
        <v>4336</v>
      </c>
      <c r="O237" s="466">
        <v>2</v>
      </c>
      <c r="P237" s="523">
        <v>-15</v>
      </c>
      <c r="Q237" s="462">
        <v>1.8418981481481483E-3</v>
      </c>
      <c r="R237" s="463">
        <v>8615</v>
      </c>
      <c r="S237" s="466" t="s">
        <v>625</v>
      </c>
      <c r="T237" s="524"/>
      <c r="W237" s="460"/>
      <c r="AY237" s="486">
        <f t="shared" si="9"/>
        <v>8615</v>
      </c>
      <c r="AZ237" s="487" t="str">
        <f t="shared" si="11"/>
        <v/>
      </c>
      <c r="CH237" s="459"/>
    </row>
    <row r="238" spans="1:90" s="461" customFormat="1" ht="12" customHeight="1" x14ac:dyDescent="0.15">
      <c r="A238" s="522" t="s">
        <v>3944</v>
      </c>
      <c r="B238" s="467">
        <v>42448</v>
      </c>
      <c r="C238" s="468" t="s">
        <v>3949</v>
      </c>
      <c r="D238" s="468" t="s">
        <v>3945</v>
      </c>
      <c r="E238" s="468" t="s">
        <v>3848</v>
      </c>
      <c r="F238" s="468" t="s">
        <v>3685</v>
      </c>
      <c r="G238" s="466">
        <v>10</v>
      </c>
      <c r="H238" s="465">
        <v>12.5</v>
      </c>
      <c r="I238" s="466"/>
      <c r="J238" s="466" t="s">
        <v>4371</v>
      </c>
      <c r="K238" s="466">
        <v>4</v>
      </c>
      <c r="L238" s="465" t="s">
        <v>431</v>
      </c>
      <c r="M238" s="463">
        <v>41109</v>
      </c>
      <c r="N238" s="468" t="s">
        <v>4336</v>
      </c>
      <c r="O238" s="466">
        <v>3</v>
      </c>
      <c r="P238" s="523">
        <v>-16.25</v>
      </c>
      <c r="Q238" s="462">
        <v>1.8418981481481483E-3</v>
      </c>
      <c r="R238" s="463">
        <v>5333</v>
      </c>
      <c r="S238" s="466" t="s">
        <v>625</v>
      </c>
      <c r="T238" s="524"/>
      <c r="W238" s="460"/>
      <c r="AY238" s="486">
        <f t="shared" si="9"/>
        <v>5333</v>
      </c>
      <c r="AZ238" s="487" t="str">
        <f t="shared" si="11"/>
        <v/>
      </c>
      <c r="CH238" s="459"/>
    </row>
    <row r="239" spans="1:90" s="461" customFormat="1" ht="12" customHeight="1" x14ac:dyDescent="0.15">
      <c r="A239" s="522" t="s">
        <v>21</v>
      </c>
      <c r="B239" s="467">
        <v>42448</v>
      </c>
      <c r="C239" s="468" t="s">
        <v>4322</v>
      </c>
      <c r="D239" s="468" t="s">
        <v>4323</v>
      </c>
      <c r="E239" s="468" t="s">
        <v>4324</v>
      </c>
      <c r="F239" s="468" t="s">
        <v>595</v>
      </c>
      <c r="G239" s="466">
        <v>6</v>
      </c>
      <c r="H239" s="465">
        <v>8</v>
      </c>
      <c r="I239" s="598" t="s">
        <v>3730</v>
      </c>
      <c r="J239" s="466"/>
      <c r="K239" s="466">
        <v>11</v>
      </c>
      <c r="L239" s="506">
        <v>8</v>
      </c>
      <c r="M239" s="463">
        <v>43000</v>
      </c>
      <c r="N239" s="468" t="s">
        <v>3970</v>
      </c>
      <c r="O239" s="466">
        <v>2</v>
      </c>
      <c r="P239" s="523">
        <v>-1.5</v>
      </c>
      <c r="Q239" s="462">
        <v>1.1469907407407407E-3</v>
      </c>
      <c r="R239" s="463">
        <v>8600</v>
      </c>
      <c r="S239" s="466"/>
      <c r="T239" s="524"/>
      <c r="W239" s="460"/>
      <c r="AY239" s="486" t="str">
        <f t="shared" si="9"/>
        <v/>
      </c>
      <c r="AZ239" s="487" t="str">
        <f t="shared" ref="AZ239:AZ270" si="12">IF(F239="Pleasant Meadows","",IF(L239="","",IF(O239="--","",IF(O239=1,1,""))))</f>
        <v/>
      </c>
      <c r="CH239" s="459"/>
    </row>
    <row r="240" spans="1:90" s="461" customFormat="1" ht="12" customHeight="1" x14ac:dyDescent="0.15">
      <c r="A240" s="522" t="s">
        <v>1788</v>
      </c>
      <c r="B240" s="467">
        <v>42449</v>
      </c>
      <c r="C240" s="468" t="s">
        <v>1474</v>
      </c>
      <c r="D240" s="468" t="s">
        <v>4089</v>
      </c>
      <c r="E240" s="468" t="s">
        <v>4352</v>
      </c>
      <c r="F240" s="468" t="s">
        <v>4351</v>
      </c>
      <c r="G240" s="466">
        <v>10</v>
      </c>
      <c r="H240" s="465">
        <v>6</v>
      </c>
      <c r="I240" s="466"/>
      <c r="J240" s="466"/>
      <c r="K240" s="466">
        <v>16</v>
      </c>
      <c r="L240" s="465" t="s">
        <v>431</v>
      </c>
      <c r="M240" s="463">
        <v>375189</v>
      </c>
      <c r="N240" s="468" t="s">
        <v>4350</v>
      </c>
      <c r="O240" s="466">
        <v>14</v>
      </c>
      <c r="P240" s="523">
        <v>-10</v>
      </c>
      <c r="Q240" s="462">
        <v>8.0439814814814816E-4</v>
      </c>
      <c r="R240" s="463">
        <v>0</v>
      </c>
      <c r="S240" s="466" t="s">
        <v>625</v>
      </c>
      <c r="T240" s="524"/>
      <c r="W240" s="460"/>
      <c r="AY240" s="486">
        <f t="shared" si="9"/>
        <v>0</v>
      </c>
      <c r="AZ240" s="487" t="str">
        <f t="shared" si="12"/>
        <v/>
      </c>
      <c r="CH240" s="459"/>
    </row>
    <row r="241" spans="1:90" s="461" customFormat="1" ht="12" customHeight="1" x14ac:dyDescent="0.15">
      <c r="A241" s="522" t="s">
        <v>2172</v>
      </c>
      <c r="B241" s="467">
        <v>42449</v>
      </c>
      <c r="C241" s="468" t="s">
        <v>3707</v>
      </c>
      <c r="D241" s="468" t="s">
        <v>3708</v>
      </c>
      <c r="E241" s="468" t="s">
        <v>4325</v>
      </c>
      <c r="F241" s="468" t="s">
        <v>4077</v>
      </c>
      <c r="G241" s="466">
        <v>2</v>
      </c>
      <c r="H241" s="465">
        <v>7</v>
      </c>
      <c r="I241" s="466"/>
      <c r="J241" s="466"/>
      <c r="K241" s="466">
        <v>7</v>
      </c>
      <c r="L241" s="506">
        <f>7/2</f>
        <v>3.5</v>
      </c>
      <c r="M241" s="463">
        <v>5000</v>
      </c>
      <c r="N241" s="468" t="s">
        <v>3739</v>
      </c>
      <c r="O241" s="466">
        <v>4</v>
      </c>
      <c r="P241" s="523">
        <v>-3.75</v>
      </c>
      <c r="Q241" s="462">
        <v>1.0300925925925926E-3</v>
      </c>
      <c r="R241" s="463">
        <v>500</v>
      </c>
      <c r="S241" s="466" t="s">
        <v>625</v>
      </c>
      <c r="T241" s="524"/>
      <c r="W241" s="460"/>
      <c r="AY241" s="486">
        <f t="shared" si="9"/>
        <v>500</v>
      </c>
      <c r="AZ241" s="487" t="str">
        <f t="shared" si="12"/>
        <v/>
      </c>
      <c r="CH241" s="459"/>
    </row>
    <row r="242" spans="1:90" s="461" customFormat="1" ht="12" customHeight="1" x14ac:dyDescent="0.15">
      <c r="A242" s="522" t="s">
        <v>2227</v>
      </c>
      <c r="B242" s="467">
        <v>42449</v>
      </c>
      <c r="C242" s="468" t="s">
        <v>3756</v>
      </c>
      <c r="D242" s="468" t="s">
        <v>3757</v>
      </c>
      <c r="E242" s="468" t="s">
        <v>4349</v>
      </c>
      <c r="F242" s="468" t="s">
        <v>4171</v>
      </c>
      <c r="G242" s="466">
        <v>4</v>
      </c>
      <c r="H242" s="465">
        <v>6</v>
      </c>
      <c r="I242" s="466"/>
      <c r="J242" s="466"/>
      <c r="K242" s="466">
        <v>7</v>
      </c>
      <c r="L242" s="506">
        <f>5/2</f>
        <v>2.5</v>
      </c>
      <c r="M242" s="463">
        <v>50000</v>
      </c>
      <c r="N242" s="468" t="s">
        <v>3787</v>
      </c>
      <c r="O242" s="466">
        <v>3</v>
      </c>
      <c r="P242" s="523">
        <v>-5.5</v>
      </c>
      <c r="Q242" s="462">
        <v>8.3495370370370364E-4</v>
      </c>
      <c r="R242" s="463">
        <v>7700</v>
      </c>
      <c r="S242" s="466"/>
      <c r="T242" s="524" t="s">
        <v>3755</v>
      </c>
      <c r="W242" s="460"/>
      <c r="AY242" s="486" t="str">
        <f t="shared" si="9"/>
        <v/>
      </c>
      <c r="AZ242" s="487" t="str">
        <f t="shared" si="12"/>
        <v/>
      </c>
      <c r="CH242" s="459"/>
    </row>
    <row r="243" spans="1:90" s="461" customFormat="1" ht="12" customHeight="1" x14ac:dyDescent="0.15">
      <c r="A243" s="522" t="s">
        <v>33</v>
      </c>
      <c r="B243" s="467">
        <v>42449</v>
      </c>
      <c r="C243" s="468" t="s">
        <v>3715</v>
      </c>
      <c r="D243" s="468" t="s">
        <v>4208</v>
      </c>
      <c r="E243" s="468" t="s">
        <v>4117</v>
      </c>
      <c r="F243" s="468" t="s">
        <v>680</v>
      </c>
      <c r="G243" s="466">
        <v>2</v>
      </c>
      <c r="H243" s="465">
        <v>8</v>
      </c>
      <c r="I243" s="466" t="s">
        <v>1360</v>
      </c>
      <c r="J243" s="466"/>
      <c r="K243" s="466">
        <v>8</v>
      </c>
      <c r="L243" s="506">
        <v>4</v>
      </c>
      <c r="M243" s="463">
        <v>7100</v>
      </c>
      <c r="N243" s="468" t="s">
        <v>3763</v>
      </c>
      <c r="O243" s="466">
        <v>6</v>
      </c>
      <c r="P243" s="523">
        <v>-5.25</v>
      </c>
      <c r="Q243" s="462">
        <v>1.1620370370370372E-3</v>
      </c>
      <c r="R243" s="463">
        <v>71</v>
      </c>
      <c r="S243" s="466"/>
      <c r="T243" s="524"/>
      <c r="W243" s="460"/>
      <c r="AY243" s="486" t="str">
        <f t="shared" si="9"/>
        <v/>
      </c>
      <c r="AZ243" s="487" t="str">
        <f t="shared" si="12"/>
        <v/>
      </c>
      <c r="CH243" s="459"/>
    </row>
    <row r="244" spans="1:90" s="469" customFormat="1" ht="12" customHeight="1" x14ac:dyDescent="0.15">
      <c r="A244" s="444" t="s">
        <v>3903</v>
      </c>
      <c r="B244" s="445">
        <v>42449</v>
      </c>
      <c r="C244" s="446" t="s">
        <v>3904</v>
      </c>
      <c r="D244" s="446" t="s">
        <v>3905</v>
      </c>
      <c r="E244" s="446" t="s">
        <v>3700</v>
      </c>
      <c r="F244" s="446" t="s">
        <v>3686</v>
      </c>
      <c r="G244" s="447">
        <v>3</v>
      </c>
      <c r="H244" s="447">
        <v>5.5</v>
      </c>
      <c r="I244" s="447"/>
      <c r="J244" s="447"/>
      <c r="K244" s="447">
        <v>9</v>
      </c>
      <c r="L244" s="448" t="s">
        <v>431</v>
      </c>
      <c r="M244" s="450">
        <v>6583</v>
      </c>
      <c r="N244" s="446" t="s">
        <v>3225</v>
      </c>
      <c r="O244" s="447">
        <v>1</v>
      </c>
      <c r="P244" s="451" t="s">
        <v>4378</v>
      </c>
      <c r="Q244" s="452">
        <v>7.5879629629629637E-4</v>
      </c>
      <c r="R244" s="450">
        <v>3942</v>
      </c>
      <c r="S244" s="447" t="s">
        <v>625</v>
      </c>
      <c r="T244" s="453"/>
      <c r="U244" s="454"/>
      <c r="V244" s="454"/>
      <c r="W244" s="455"/>
      <c r="X244" s="454"/>
      <c r="Y244" s="454"/>
      <c r="Z244" s="454"/>
      <c r="AA244" s="454"/>
      <c r="AB244" s="454"/>
      <c r="AC244" s="454"/>
      <c r="AD244" s="454"/>
      <c r="AE244" s="454"/>
      <c r="AF244" s="454"/>
      <c r="AG244" s="454"/>
      <c r="AH244" s="454"/>
      <c r="AI244" s="454"/>
      <c r="AJ244" s="454"/>
      <c r="AK244" s="454"/>
      <c r="AL244" s="454"/>
      <c r="AM244" s="454"/>
      <c r="AN244" s="454"/>
      <c r="AO244" s="454"/>
      <c r="AP244" s="454"/>
      <c r="AQ244" s="454"/>
      <c r="AR244" s="454"/>
      <c r="AS244" s="454"/>
      <c r="AT244" s="454"/>
      <c r="AU244" s="454"/>
      <c r="AV244" s="454"/>
      <c r="AW244" s="454"/>
      <c r="AX244" s="454"/>
      <c r="AY244" s="486">
        <f t="shared" si="9"/>
        <v>3942</v>
      </c>
      <c r="AZ244" s="487">
        <f t="shared" si="12"/>
        <v>1</v>
      </c>
      <c r="BA244" s="454"/>
      <c r="BB244" s="454"/>
      <c r="BC244" s="454"/>
      <c r="BD244" s="454"/>
      <c r="BE244" s="454"/>
      <c r="BF244" s="454"/>
      <c r="BG244" s="454"/>
      <c r="BH244" s="454"/>
      <c r="BI244" s="454"/>
      <c r="BJ244" s="454"/>
      <c r="BK244" s="454"/>
      <c r="BL244" s="454"/>
      <c r="BM244" s="454"/>
      <c r="BN244" s="454"/>
      <c r="BO244" s="454"/>
      <c r="BP244" s="454"/>
      <c r="BQ244" s="454"/>
      <c r="BR244" s="454"/>
      <c r="BS244" s="454"/>
      <c r="BT244" s="454"/>
      <c r="BU244" s="454"/>
      <c r="BV244" s="454"/>
      <c r="BW244" s="454"/>
      <c r="BX244" s="454"/>
      <c r="BY244" s="454"/>
      <c r="BZ244" s="454"/>
      <c r="CA244" s="454"/>
      <c r="CB244" s="454"/>
      <c r="CC244" s="454"/>
      <c r="CD244" s="454"/>
      <c r="CE244" s="454"/>
      <c r="CF244" s="454"/>
      <c r="CG244" s="454"/>
      <c r="CH244" s="456"/>
      <c r="CI244" s="454"/>
      <c r="CJ244" s="454"/>
      <c r="CK244" s="454"/>
      <c r="CL244" s="454"/>
    </row>
    <row r="245" spans="1:90" s="461" customFormat="1" ht="12" customHeight="1" x14ac:dyDescent="0.15">
      <c r="A245" s="522" t="s">
        <v>122</v>
      </c>
      <c r="B245" s="467">
        <v>42449</v>
      </c>
      <c r="C245" s="468" t="s">
        <v>4346</v>
      </c>
      <c r="D245" s="468" t="s">
        <v>4347</v>
      </c>
      <c r="E245" s="468" t="s">
        <v>4348</v>
      </c>
      <c r="F245" s="468" t="s">
        <v>439</v>
      </c>
      <c r="G245" s="466">
        <v>7</v>
      </c>
      <c r="H245" s="465">
        <v>6</v>
      </c>
      <c r="I245" s="466"/>
      <c r="J245" s="466"/>
      <c r="K245" s="466">
        <v>11</v>
      </c>
      <c r="L245" s="525">
        <v>20</v>
      </c>
      <c r="M245" s="463">
        <v>30000</v>
      </c>
      <c r="N245" s="468" t="s">
        <v>3657</v>
      </c>
      <c r="O245" s="466">
        <v>9</v>
      </c>
      <c r="P245" s="523">
        <v>-4.25</v>
      </c>
      <c r="Q245" s="462">
        <v>8.2962962962962949E-4</v>
      </c>
      <c r="R245" s="463">
        <v>100</v>
      </c>
      <c r="S245" s="466"/>
      <c r="T245" s="524"/>
      <c r="W245" s="460"/>
      <c r="AY245" s="486" t="str">
        <f t="shared" si="9"/>
        <v/>
      </c>
      <c r="AZ245" s="487" t="str">
        <f t="shared" si="12"/>
        <v/>
      </c>
      <c r="CH245" s="459"/>
    </row>
    <row r="246" spans="1:90" s="461" customFormat="1" ht="12" customHeight="1" x14ac:dyDescent="0.15">
      <c r="A246" s="522" t="s">
        <v>3222</v>
      </c>
      <c r="B246" s="467">
        <v>42449</v>
      </c>
      <c r="C246" s="468" t="s">
        <v>3223</v>
      </c>
      <c r="D246" s="468" t="s">
        <v>3192</v>
      </c>
      <c r="E246" s="468" t="s">
        <v>3699</v>
      </c>
      <c r="F246" s="468" t="s">
        <v>3686</v>
      </c>
      <c r="G246" s="466">
        <v>7</v>
      </c>
      <c r="H246" s="465">
        <v>5.5</v>
      </c>
      <c r="I246" s="466"/>
      <c r="J246" s="466"/>
      <c r="K246" s="466">
        <v>10</v>
      </c>
      <c r="L246" s="464" t="s">
        <v>431</v>
      </c>
      <c r="M246" s="463">
        <v>6583</v>
      </c>
      <c r="N246" s="468" t="s">
        <v>3225</v>
      </c>
      <c r="O246" s="466">
        <v>7</v>
      </c>
      <c r="P246" s="523">
        <v>-10.5</v>
      </c>
      <c r="Q246" s="462">
        <v>7.548611111111111E-4</v>
      </c>
      <c r="R246" s="463">
        <v>99</v>
      </c>
      <c r="S246" s="466" t="s">
        <v>625</v>
      </c>
      <c r="T246" s="524"/>
      <c r="W246" s="460"/>
      <c r="AY246" s="486">
        <f t="shared" si="9"/>
        <v>99</v>
      </c>
      <c r="AZ246" s="487" t="str">
        <f t="shared" si="12"/>
        <v/>
      </c>
      <c r="CH246" s="459"/>
    </row>
    <row r="247" spans="1:90" s="461" customFormat="1" ht="12" customHeight="1" x14ac:dyDescent="0.15">
      <c r="A247" s="522" t="s">
        <v>3369</v>
      </c>
      <c r="B247" s="467">
        <v>42449</v>
      </c>
      <c r="C247" s="468" t="s">
        <v>3370</v>
      </c>
      <c r="D247" s="468" t="s">
        <v>3902</v>
      </c>
      <c r="E247" s="468" t="s">
        <v>3700</v>
      </c>
      <c r="F247" s="468" t="s">
        <v>3686</v>
      </c>
      <c r="G247" s="466">
        <v>10</v>
      </c>
      <c r="H247" s="465">
        <v>5</v>
      </c>
      <c r="I247" s="466"/>
      <c r="J247" s="466"/>
      <c r="K247" s="466">
        <v>13</v>
      </c>
      <c r="L247" s="464" t="s">
        <v>431</v>
      </c>
      <c r="M247" s="463">
        <v>6086</v>
      </c>
      <c r="N247" s="468" t="s">
        <v>3653</v>
      </c>
      <c r="O247" s="466">
        <v>3</v>
      </c>
      <c r="P247" s="523">
        <v>-4</v>
      </c>
      <c r="Q247" s="462">
        <v>7.5289351851851863E-4</v>
      </c>
      <c r="R247" s="463">
        <v>336</v>
      </c>
      <c r="S247" s="466" t="s">
        <v>625</v>
      </c>
      <c r="T247" s="524"/>
      <c r="W247" s="460"/>
      <c r="AY247" s="486">
        <f t="shared" si="9"/>
        <v>336</v>
      </c>
      <c r="AZ247" s="487" t="str">
        <f t="shared" si="12"/>
        <v/>
      </c>
      <c r="CH247" s="459"/>
    </row>
    <row r="248" spans="1:90" s="461" customFormat="1" ht="12" customHeight="1" x14ac:dyDescent="0.15">
      <c r="A248" s="522" t="s">
        <v>4063</v>
      </c>
      <c r="B248" s="467">
        <v>42449</v>
      </c>
      <c r="C248" s="468" t="s">
        <v>4064</v>
      </c>
      <c r="D248" s="468" t="s">
        <v>4014</v>
      </c>
      <c r="E248" s="468" t="s">
        <v>3956</v>
      </c>
      <c r="F248" s="468" t="s">
        <v>3686</v>
      </c>
      <c r="G248" s="466">
        <v>11</v>
      </c>
      <c r="H248" s="465">
        <v>7</v>
      </c>
      <c r="I248" s="466"/>
      <c r="J248" s="466"/>
      <c r="K248" s="466">
        <v>13</v>
      </c>
      <c r="L248" s="464" t="s">
        <v>431</v>
      </c>
      <c r="M248" s="463">
        <v>5924</v>
      </c>
      <c r="N248" s="468" t="s">
        <v>3653</v>
      </c>
      <c r="O248" s="466">
        <v>9</v>
      </c>
      <c r="P248" s="523">
        <v>-12.5</v>
      </c>
      <c r="Q248" s="462">
        <v>9.7847222222222237E-4</v>
      </c>
      <c r="R248" s="463">
        <v>99</v>
      </c>
      <c r="S248" s="466" t="s">
        <v>625</v>
      </c>
      <c r="T248" s="524"/>
      <c r="W248" s="460"/>
      <c r="AY248" s="486">
        <f t="shared" si="9"/>
        <v>99</v>
      </c>
      <c r="AZ248" s="487" t="str">
        <f t="shared" si="12"/>
        <v/>
      </c>
      <c r="CH248" s="459"/>
    </row>
    <row r="249" spans="1:90" s="461" customFormat="1" ht="12" customHeight="1" x14ac:dyDescent="0.15">
      <c r="A249" s="522" t="s">
        <v>3178</v>
      </c>
      <c r="B249" s="467">
        <v>42450</v>
      </c>
      <c r="C249" s="468" t="s">
        <v>2268</v>
      </c>
      <c r="D249" s="468" t="s">
        <v>4224</v>
      </c>
      <c r="E249" s="468" t="s">
        <v>4355</v>
      </c>
      <c r="F249" s="468" t="s">
        <v>4171</v>
      </c>
      <c r="G249" s="466">
        <v>6</v>
      </c>
      <c r="H249" s="465">
        <v>8</v>
      </c>
      <c r="I249" s="466"/>
      <c r="J249" s="466"/>
      <c r="K249" s="466">
        <v>8</v>
      </c>
      <c r="L249" s="506">
        <v>4</v>
      </c>
      <c r="M249" s="463">
        <v>50000</v>
      </c>
      <c r="N249" s="468" t="s">
        <v>3879</v>
      </c>
      <c r="O249" s="466">
        <v>3</v>
      </c>
      <c r="P249" s="523">
        <v>-6.25</v>
      </c>
      <c r="Q249" s="462">
        <v>1.1795138888888888E-3</v>
      </c>
      <c r="R249" s="463">
        <v>7700</v>
      </c>
      <c r="S249" s="466"/>
      <c r="T249" s="524"/>
      <c r="W249" s="460"/>
      <c r="AY249" s="486" t="str">
        <f t="shared" si="9"/>
        <v/>
      </c>
      <c r="AZ249" s="487" t="str">
        <f t="shared" si="12"/>
        <v/>
      </c>
      <c r="CH249" s="459"/>
    </row>
    <row r="250" spans="1:90" s="461" customFormat="1" ht="12" customHeight="1" x14ac:dyDescent="0.15">
      <c r="A250" s="522" t="s">
        <v>3339</v>
      </c>
      <c r="B250" s="467">
        <v>42451</v>
      </c>
      <c r="C250" s="468" t="s">
        <v>3704</v>
      </c>
      <c r="D250" s="468" t="s">
        <v>3705</v>
      </c>
      <c r="E250" s="468" t="s">
        <v>3786</v>
      </c>
      <c r="F250" s="468" t="s">
        <v>4171</v>
      </c>
      <c r="G250" s="466">
        <v>6</v>
      </c>
      <c r="H250" s="465">
        <v>8</v>
      </c>
      <c r="I250" s="466"/>
      <c r="J250" s="466"/>
      <c r="K250" s="466">
        <v>7</v>
      </c>
      <c r="L250" s="506">
        <f>9/2</f>
        <v>4.5</v>
      </c>
      <c r="M250" s="463">
        <v>42000</v>
      </c>
      <c r="N250" s="468" t="s">
        <v>4380</v>
      </c>
      <c r="O250" s="466">
        <v>2</v>
      </c>
      <c r="P250" s="555" t="s">
        <v>4379</v>
      </c>
      <c r="Q250" s="462">
        <v>1.1537037037037037E-3</v>
      </c>
      <c r="R250" s="463">
        <v>8400</v>
      </c>
      <c r="S250" s="466"/>
      <c r="T250" s="524"/>
      <c r="W250" s="460"/>
      <c r="AY250" s="486" t="str">
        <f t="shared" si="9"/>
        <v/>
      </c>
      <c r="AZ250" s="487" t="str">
        <f t="shared" si="12"/>
        <v/>
      </c>
      <c r="CH250" s="459"/>
    </row>
    <row r="251" spans="1:90" s="469" customFormat="1" ht="12" customHeight="1" x14ac:dyDescent="0.15">
      <c r="A251" s="444" t="s">
        <v>3263</v>
      </c>
      <c r="B251" s="445">
        <v>42452</v>
      </c>
      <c r="C251" s="446" t="s">
        <v>3719</v>
      </c>
      <c r="D251" s="446" t="s">
        <v>3721</v>
      </c>
      <c r="E251" s="446" t="s">
        <v>3720</v>
      </c>
      <c r="F251" s="446" t="s">
        <v>993</v>
      </c>
      <c r="G251" s="447">
        <v>8</v>
      </c>
      <c r="H251" s="448">
        <v>6.5</v>
      </c>
      <c r="I251" s="447"/>
      <c r="J251" s="447"/>
      <c r="K251" s="447">
        <v>8</v>
      </c>
      <c r="L251" s="449">
        <f>5/2</f>
        <v>2.5</v>
      </c>
      <c r="M251" s="450">
        <v>24500</v>
      </c>
      <c r="N251" s="446" t="s">
        <v>4380</v>
      </c>
      <c r="O251" s="447">
        <v>1</v>
      </c>
      <c r="P251" s="451">
        <v>4.5</v>
      </c>
      <c r="Q251" s="452">
        <v>1.0028935185185184E-3</v>
      </c>
      <c r="R251" s="450">
        <v>14700</v>
      </c>
      <c r="S251" s="447"/>
      <c r="T251" s="453" t="s">
        <v>4384</v>
      </c>
      <c r="U251" s="454"/>
      <c r="V251" s="454"/>
      <c r="W251" s="455"/>
      <c r="X251" s="454"/>
      <c r="Y251" s="454"/>
      <c r="Z251" s="454"/>
      <c r="AA251" s="454"/>
      <c r="AB251" s="454"/>
      <c r="AC251" s="454"/>
      <c r="AD251" s="454"/>
      <c r="AE251" s="454"/>
      <c r="AF251" s="454"/>
      <c r="AG251" s="454"/>
      <c r="AH251" s="454"/>
      <c r="AI251" s="454"/>
      <c r="AJ251" s="454"/>
      <c r="AK251" s="454"/>
      <c r="AL251" s="454"/>
      <c r="AM251" s="454"/>
      <c r="AN251" s="454"/>
      <c r="AO251" s="454"/>
      <c r="AP251" s="454"/>
      <c r="AQ251" s="454"/>
      <c r="AR251" s="454"/>
      <c r="AS251" s="454"/>
      <c r="AT251" s="454"/>
      <c r="AU251" s="454"/>
      <c r="AV251" s="454"/>
      <c r="AW251" s="454"/>
      <c r="AX251" s="454"/>
      <c r="AY251" s="486" t="str">
        <f t="shared" si="9"/>
        <v/>
      </c>
      <c r="AZ251" s="487">
        <f t="shared" si="12"/>
        <v>1</v>
      </c>
      <c r="BA251" s="454"/>
      <c r="BB251" s="454"/>
      <c r="BC251" s="454"/>
      <c r="BD251" s="454"/>
      <c r="BE251" s="454"/>
      <c r="BF251" s="454"/>
      <c r="BG251" s="454"/>
      <c r="BH251" s="454"/>
      <c r="BI251" s="454"/>
      <c r="BJ251" s="454"/>
      <c r="BK251" s="454"/>
      <c r="BL251" s="454"/>
      <c r="BM251" s="454"/>
      <c r="BN251" s="454"/>
      <c r="BO251" s="454"/>
      <c r="BP251" s="454"/>
      <c r="BQ251" s="454"/>
      <c r="BR251" s="454"/>
      <c r="BS251" s="454"/>
      <c r="BT251" s="454"/>
      <c r="BU251" s="454"/>
      <c r="BV251" s="454"/>
      <c r="BW251" s="454"/>
      <c r="BX251" s="454"/>
      <c r="BY251" s="454"/>
      <c r="BZ251" s="454"/>
      <c r="CA251" s="454"/>
      <c r="CB251" s="454"/>
      <c r="CC251" s="454"/>
      <c r="CD251" s="454"/>
      <c r="CE251" s="454"/>
      <c r="CF251" s="454"/>
      <c r="CG251" s="454"/>
      <c r="CH251" s="456"/>
      <c r="CI251" s="454"/>
      <c r="CJ251" s="454"/>
      <c r="CK251" s="454"/>
      <c r="CL251" s="454"/>
    </row>
    <row r="252" spans="1:90" s="461" customFormat="1" ht="12" customHeight="1" x14ac:dyDescent="0.15">
      <c r="A252" s="522" t="s">
        <v>1558</v>
      </c>
      <c r="B252" s="467">
        <v>42453</v>
      </c>
      <c r="C252" s="468" t="s">
        <v>4372</v>
      </c>
      <c r="D252" s="468" t="s">
        <v>4270</v>
      </c>
      <c r="E252" s="468" t="s">
        <v>4271</v>
      </c>
      <c r="F252" s="468" t="s">
        <v>540</v>
      </c>
      <c r="G252" s="466">
        <v>2</v>
      </c>
      <c r="H252" s="465">
        <v>8.5</v>
      </c>
      <c r="I252" s="466"/>
      <c r="J252" s="466"/>
      <c r="K252" s="466">
        <v>4</v>
      </c>
      <c r="L252" s="506">
        <v>3</v>
      </c>
      <c r="M252" s="463">
        <v>20000</v>
      </c>
      <c r="N252" s="468" t="s">
        <v>4373</v>
      </c>
      <c r="O252" s="466">
        <v>2</v>
      </c>
      <c r="P252" s="555" t="s">
        <v>1202</v>
      </c>
      <c r="Q252" s="462">
        <v>1.2111111111111112E-3</v>
      </c>
      <c r="R252" s="463">
        <v>3740</v>
      </c>
      <c r="S252" s="466"/>
      <c r="T252" s="524" t="s">
        <v>3755</v>
      </c>
      <c r="W252" s="460"/>
      <c r="AY252" s="486" t="str">
        <f t="shared" si="9"/>
        <v/>
      </c>
      <c r="AZ252" s="487" t="str">
        <f t="shared" si="12"/>
        <v/>
      </c>
      <c r="CH252" s="459"/>
    </row>
    <row r="253" spans="1:90" s="469" customFormat="1" ht="12" customHeight="1" x14ac:dyDescent="0.15">
      <c r="A253" s="444" t="s">
        <v>2151</v>
      </c>
      <c r="B253" s="445">
        <v>42453</v>
      </c>
      <c r="C253" s="446" t="s">
        <v>3852</v>
      </c>
      <c r="D253" s="446" t="s">
        <v>3853</v>
      </c>
      <c r="E253" s="446" t="s">
        <v>4256</v>
      </c>
      <c r="F253" s="446" t="s">
        <v>2376</v>
      </c>
      <c r="G253" s="447">
        <v>2</v>
      </c>
      <c r="H253" s="448">
        <v>8.3000000000000007</v>
      </c>
      <c r="I253" s="447"/>
      <c r="J253" s="447"/>
      <c r="K253" s="447">
        <v>6</v>
      </c>
      <c r="L253" s="449">
        <v>4</v>
      </c>
      <c r="M253" s="450">
        <v>33300</v>
      </c>
      <c r="N253" s="446" t="s">
        <v>3851</v>
      </c>
      <c r="O253" s="447">
        <v>1</v>
      </c>
      <c r="P253" s="451" t="s">
        <v>4203</v>
      </c>
      <c r="Q253" s="452">
        <v>1.2175925925925926E-3</v>
      </c>
      <c r="R253" s="450">
        <v>19980</v>
      </c>
      <c r="S253" s="447"/>
      <c r="T253" s="453"/>
      <c r="U253" s="454"/>
      <c r="V253" s="454"/>
      <c r="W253" s="455"/>
      <c r="X253" s="454"/>
      <c r="Y253" s="454"/>
      <c r="Z253" s="454"/>
      <c r="AA253" s="454"/>
      <c r="AB253" s="454"/>
      <c r="AC253" s="454"/>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4"/>
      <c r="AY253" s="486" t="str">
        <f t="shared" si="9"/>
        <v/>
      </c>
      <c r="AZ253" s="487">
        <f t="shared" si="12"/>
        <v>1</v>
      </c>
      <c r="BA253" s="454"/>
      <c r="BB253" s="454"/>
      <c r="BC253" s="454"/>
      <c r="BD253" s="454"/>
      <c r="BE253" s="454"/>
      <c r="BF253" s="454"/>
      <c r="BG253" s="454"/>
      <c r="BH253" s="454"/>
      <c r="BI253" s="454"/>
      <c r="BJ253" s="454"/>
      <c r="BK253" s="454"/>
      <c r="BL253" s="454"/>
      <c r="BM253" s="454"/>
      <c r="BN253" s="454"/>
      <c r="BO253" s="454"/>
      <c r="BP253" s="454"/>
      <c r="BQ253" s="454"/>
      <c r="BR253" s="454"/>
      <c r="BS253" s="454"/>
      <c r="BT253" s="454"/>
      <c r="BU253" s="454"/>
      <c r="BV253" s="454"/>
      <c r="BW253" s="454"/>
      <c r="BX253" s="454"/>
      <c r="BY253" s="454"/>
      <c r="BZ253" s="454"/>
      <c r="CA253" s="454"/>
      <c r="CB253" s="454"/>
      <c r="CC253" s="454"/>
      <c r="CD253" s="454"/>
      <c r="CE253" s="454"/>
      <c r="CF253" s="454"/>
      <c r="CG253" s="454"/>
      <c r="CH253" s="456"/>
      <c r="CI253" s="454"/>
      <c r="CJ253" s="454"/>
      <c r="CK253" s="454"/>
      <c r="CL253" s="454"/>
    </row>
    <row r="254" spans="1:90" s="461" customFormat="1" ht="12" customHeight="1" x14ac:dyDescent="0.15">
      <c r="A254" s="522" t="s">
        <v>3932</v>
      </c>
      <c r="B254" s="467">
        <v>42454</v>
      </c>
      <c r="C254" s="468" t="s">
        <v>3952</v>
      </c>
      <c r="D254" s="468" t="s">
        <v>3948</v>
      </c>
      <c r="E254" s="468" t="s">
        <v>4387</v>
      </c>
      <c r="F254" s="468" t="s">
        <v>3934</v>
      </c>
      <c r="G254" s="466">
        <v>5</v>
      </c>
      <c r="H254" s="465">
        <v>5.5</v>
      </c>
      <c r="I254" s="466"/>
      <c r="J254" s="466"/>
      <c r="K254" s="466">
        <v>8</v>
      </c>
      <c r="L254" s="464" t="s">
        <v>431</v>
      </c>
      <c r="M254" s="463">
        <v>1585</v>
      </c>
      <c r="N254" s="468" t="s">
        <v>3778</v>
      </c>
      <c r="O254" s="466">
        <v>4</v>
      </c>
      <c r="P254" s="523">
        <v>-6.5</v>
      </c>
      <c r="Q254" s="462">
        <v>8.4143518518518519E-4</v>
      </c>
      <c r="R254" s="463">
        <v>30</v>
      </c>
      <c r="S254" s="466" t="s">
        <v>625</v>
      </c>
      <c r="T254" s="524"/>
      <c r="W254" s="460"/>
      <c r="AY254" s="486">
        <f t="shared" si="9"/>
        <v>30</v>
      </c>
      <c r="AZ254" s="487" t="str">
        <f t="shared" si="12"/>
        <v/>
      </c>
      <c r="CH254" s="459"/>
    </row>
    <row r="255" spans="1:90" s="469" customFormat="1" ht="12" customHeight="1" x14ac:dyDescent="0.15">
      <c r="A255" s="444" t="s">
        <v>2467</v>
      </c>
      <c r="B255" s="445">
        <v>42454</v>
      </c>
      <c r="C255" s="446" t="s">
        <v>3186</v>
      </c>
      <c r="D255" s="446" t="s">
        <v>5144</v>
      </c>
      <c r="E255" s="446" t="s">
        <v>4030</v>
      </c>
      <c r="F255" s="446" t="s">
        <v>525</v>
      </c>
      <c r="G255" s="447">
        <v>2</v>
      </c>
      <c r="H255" s="448">
        <v>8.3000000000000007</v>
      </c>
      <c r="I255" s="447"/>
      <c r="J255" s="447"/>
      <c r="K255" s="447">
        <v>7</v>
      </c>
      <c r="L255" s="449">
        <v>8</v>
      </c>
      <c r="M255" s="450">
        <v>41000</v>
      </c>
      <c r="N255" s="446" t="s">
        <v>4032</v>
      </c>
      <c r="O255" s="447">
        <v>1</v>
      </c>
      <c r="P255" s="451">
        <v>5</v>
      </c>
      <c r="Q255" s="452">
        <v>1.2824074074074075E-3</v>
      </c>
      <c r="R255" s="450">
        <v>24600</v>
      </c>
      <c r="S255" s="447"/>
      <c r="T255" s="453"/>
      <c r="U255" s="454"/>
      <c r="V255" s="454"/>
      <c r="W255" s="455"/>
      <c r="X255" s="454"/>
      <c r="Y255" s="454"/>
      <c r="Z255" s="454"/>
      <c r="AA255" s="454"/>
      <c r="AB255" s="454"/>
      <c r="AC255" s="454"/>
      <c r="AD255" s="454"/>
      <c r="AE255" s="454"/>
      <c r="AF255" s="454"/>
      <c r="AG255" s="454"/>
      <c r="AH255" s="454"/>
      <c r="AI255" s="454"/>
      <c r="AJ255" s="454"/>
      <c r="AK255" s="454"/>
      <c r="AL255" s="454"/>
      <c r="AM255" s="454"/>
      <c r="AN255" s="454"/>
      <c r="AO255" s="454"/>
      <c r="AP255" s="454"/>
      <c r="AQ255" s="454"/>
      <c r="AR255" s="454"/>
      <c r="AS255" s="454"/>
      <c r="AT255" s="454"/>
      <c r="AU255" s="454"/>
      <c r="AV255" s="454"/>
      <c r="AW255" s="454"/>
      <c r="AX255" s="454"/>
      <c r="AY255" s="486" t="str">
        <f t="shared" si="9"/>
        <v/>
      </c>
      <c r="AZ255" s="487">
        <f t="shared" si="12"/>
        <v>1</v>
      </c>
      <c r="BA255" s="454"/>
      <c r="BB255" s="454"/>
      <c r="BC255" s="454"/>
      <c r="BD255" s="454"/>
      <c r="BE255" s="454"/>
      <c r="BF255" s="454"/>
      <c r="BG255" s="454"/>
      <c r="BH255" s="454"/>
      <c r="BI255" s="454"/>
      <c r="BJ255" s="454"/>
      <c r="BK255" s="454"/>
      <c r="BL255" s="454"/>
      <c r="BM255" s="454"/>
      <c r="BN255" s="454"/>
      <c r="BO255" s="454"/>
      <c r="BP255" s="454"/>
      <c r="BQ255" s="454"/>
      <c r="BR255" s="454"/>
      <c r="BS255" s="454"/>
      <c r="BT255" s="454"/>
      <c r="BU255" s="454"/>
      <c r="BV255" s="454"/>
      <c r="BW255" s="454"/>
      <c r="BX255" s="454"/>
      <c r="BY255" s="454"/>
      <c r="BZ255" s="454"/>
      <c r="CA255" s="454"/>
      <c r="CB255" s="454"/>
      <c r="CC255" s="454"/>
      <c r="CD255" s="454"/>
      <c r="CE255" s="454"/>
      <c r="CF255" s="454"/>
      <c r="CG255" s="454"/>
      <c r="CH255" s="456"/>
      <c r="CI255" s="454"/>
      <c r="CJ255" s="454"/>
      <c r="CK255" s="454"/>
      <c r="CL255" s="454"/>
    </row>
    <row r="256" spans="1:90" s="461" customFormat="1" ht="12" customHeight="1" x14ac:dyDescent="0.15">
      <c r="A256" s="522" t="s">
        <v>3933</v>
      </c>
      <c r="B256" s="467">
        <v>42454</v>
      </c>
      <c r="C256" s="468" t="s">
        <v>3953</v>
      </c>
      <c r="D256" s="468" t="s">
        <v>3947</v>
      </c>
      <c r="E256" s="468" t="s">
        <v>3698</v>
      </c>
      <c r="F256" s="468" t="s">
        <v>3685</v>
      </c>
      <c r="G256" s="466">
        <v>7</v>
      </c>
      <c r="H256" s="465">
        <v>5</v>
      </c>
      <c r="I256" s="466"/>
      <c r="J256" s="466"/>
      <c r="K256" s="466">
        <v>10</v>
      </c>
      <c r="L256" s="506">
        <v>30</v>
      </c>
      <c r="M256" s="463">
        <v>2798</v>
      </c>
      <c r="N256" s="468" t="s">
        <v>3348</v>
      </c>
      <c r="O256" s="466">
        <v>8</v>
      </c>
      <c r="P256" s="523">
        <v>-17.25</v>
      </c>
      <c r="Q256" s="462">
        <v>6.9363425925925929E-4</v>
      </c>
      <c r="R256" s="463">
        <v>65</v>
      </c>
      <c r="S256" s="466" t="s">
        <v>625</v>
      </c>
      <c r="T256" s="524"/>
      <c r="W256" s="460"/>
      <c r="AY256" s="486">
        <f t="shared" si="9"/>
        <v>65</v>
      </c>
      <c r="AZ256" s="487" t="str">
        <f t="shared" si="12"/>
        <v/>
      </c>
      <c r="CH256" s="459"/>
    </row>
    <row r="257" spans="1:90" s="461" customFormat="1" ht="12" customHeight="1" x14ac:dyDescent="0.15">
      <c r="A257" s="522" t="s">
        <v>4374</v>
      </c>
      <c r="B257" s="467">
        <v>42454</v>
      </c>
      <c r="C257" s="468" t="s">
        <v>4375</v>
      </c>
      <c r="D257" s="468" t="s">
        <v>4376</v>
      </c>
      <c r="E257" s="468" t="s">
        <v>4388</v>
      </c>
      <c r="F257" s="468" t="s">
        <v>3934</v>
      </c>
      <c r="G257" s="466">
        <v>10</v>
      </c>
      <c r="H257" s="465">
        <v>6.5</v>
      </c>
      <c r="I257" s="466"/>
      <c r="J257" s="466"/>
      <c r="K257" s="466">
        <v>10</v>
      </c>
      <c r="L257" s="464" t="s">
        <v>431</v>
      </c>
      <c r="M257" s="463">
        <v>3700</v>
      </c>
      <c r="N257" s="468" t="s">
        <v>4296</v>
      </c>
      <c r="O257" s="466">
        <v>2</v>
      </c>
      <c r="P257" s="523">
        <v>-0.5</v>
      </c>
      <c r="Q257" s="462">
        <v>1.0837962962962962E-3</v>
      </c>
      <c r="R257" s="463">
        <v>741</v>
      </c>
      <c r="S257" s="466" t="s">
        <v>625</v>
      </c>
      <c r="T257" s="524"/>
      <c r="W257" s="460"/>
      <c r="AY257" s="486">
        <f t="shared" si="9"/>
        <v>741</v>
      </c>
      <c r="AZ257" s="487" t="str">
        <f t="shared" si="12"/>
        <v/>
      </c>
      <c r="CH257" s="459"/>
    </row>
    <row r="258" spans="1:90" s="461" customFormat="1" ht="12" customHeight="1" x14ac:dyDescent="0.15">
      <c r="A258" s="522" t="s">
        <v>1943</v>
      </c>
      <c r="B258" s="467">
        <v>42455</v>
      </c>
      <c r="C258" s="468" t="s">
        <v>3736</v>
      </c>
      <c r="D258" s="468" t="s">
        <v>3737</v>
      </c>
      <c r="E258" s="468" t="s">
        <v>3968</v>
      </c>
      <c r="F258" s="468" t="s">
        <v>595</v>
      </c>
      <c r="G258" s="466">
        <v>2</v>
      </c>
      <c r="H258" s="465">
        <v>8.5</v>
      </c>
      <c r="I258" s="466"/>
      <c r="J258" s="466"/>
      <c r="K258" s="466">
        <v>5</v>
      </c>
      <c r="L258" s="506">
        <v>6</v>
      </c>
      <c r="M258" s="463">
        <v>60000</v>
      </c>
      <c r="N258" s="468" t="s">
        <v>4334</v>
      </c>
      <c r="O258" s="466">
        <v>5</v>
      </c>
      <c r="P258" s="523">
        <v>-16</v>
      </c>
      <c r="Q258" s="462">
        <v>1.2144675925925925E-3</v>
      </c>
      <c r="R258" s="463">
        <v>1800</v>
      </c>
      <c r="S258" s="466"/>
      <c r="T258" s="524"/>
      <c r="W258" s="460"/>
      <c r="AY258" s="486" t="str">
        <f t="shared" si="9"/>
        <v/>
      </c>
      <c r="AZ258" s="487" t="str">
        <f t="shared" si="12"/>
        <v/>
      </c>
      <c r="CH258" s="459"/>
    </row>
    <row r="259" spans="1:90" s="461" customFormat="1" ht="12" customHeight="1" x14ac:dyDescent="0.15">
      <c r="A259" s="522" t="s">
        <v>3931</v>
      </c>
      <c r="B259" s="467">
        <v>42455</v>
      </c>
      <c r="C259" s="468" t="s">
        <v>3954</v>
      </c>
      <c r="D259" s="468" t="s">
        <v>3946</v>
      </c>
      <c r="E259" s="468" t="s">
        <v>4389</v>
      </c>
      <c r="F259" s="468" t="s">
        <v>3686</v>
      </c>
      <c r="G259" s="466">
        <v>5</v>
      </c>
      <c r="H259" s="466">
        <v>5.5</v>
      </c>
      <c r="I259" s="466"/>
      <c r="J259" s="466" t="s">
        <v>960</v>
      </c>
      <c r="K259" s="466">
        <v>11</v>
      </c>
      <c r="L259" s="506">
        <v>5</v>
      </c>
      <c r="M259" s="463">
        <v>5596</v>
      </c>
      <c r="N259" s="468" t="s">
        <v>3653</v>
      </c>
      <c r="O259" s="466">
        <v>3</v>
      </c>
      <c r="P259" s="523">
        <v>-2.73</v>
      </c>
      <c r="Q259" s="462">
        <v>7.7893518518518513E-4</v>
      </c>
      <c r="R259" s="463">
        <v>729</v>
      </c>
      <c r="S259" s="466" t="s">
        <v>625</v>
      </c>
      <c r="T259" s="524"/>
      <c r="W259" s="460"/>
      <c r="AY259" s="486">
        <f t="shared" si="9"/>
        <v>729</v>
      </c>
      <c r="AZ259" s="487" t="str">
        <f t="shared" si="12"/>
        <v/>
      </c>
      <c r="CH259" s="459"/>
    </row>
    <row r="260" spans="1:90" s="469" customFormat="1" ht="12" customHeight="1" x14ac:dyDescent="0.15">
      <c r="A260" s="471" t="s">
        <v>4420</v>
      </c>
      <c r="B260" s="472">
        <v>42455</v>
      </c>
      <c r="C260" s="471" t="s">
        <v>2564</v>
      </c>
      <c r="D260" s="471" t="s">
        <v>4176</v>
      </c>
      <c r="E260" s="471" t="s">
        <v>3695</v>
      </c>
      <c r="F260" s="471" t="s">
        <v>3686</v>
      </c>
      <c r="G260" s="473">
        <v>6</v>
      </c>
      <c r="H260" s="474">
        <v>5.5</v>
      </c>
      <c r="I260" s="475"/>
      <c r="J260" s="475" t="s">
        <v>960</v>
      </c>
      <c r="K260" s="473">
        <v>11</v>
      </c>
      <c r="L260" s="458">
        <v>6</v>
      </c>
      <c r="M260" s="476">
        <v>5596</v>
      </c>
      <c r="N260" s="471" t="s">
        <v>3653</v>
      </c>
      <c r="O260" s="477" t="s">
        <v>431</v>
      </c>
      <c r="P260" s="478" t="s">
        <v>431</v>
      </c>
      <c r="Q260" s="479" t="s">
        <v>431</v>
      </c>
      <c r="R260" s="480" t="s">
        <v>431</v>
      </c>
      <c r="S260" s="477" t="s">
        <v>625</v>
      </c>
      <c r="T260" s="481"/>
      <c r="U260" s="482"/>
      <c r="V260" s="482"/>
      <c r="W260" s="483"/>
      <c r="X260" s="482"/>
      <c r="Y260" s="482"/>
      <c r="Z260" s="482"/>
      <c r="AA260" s="482"/>
      <c r="AB260" s="482"/>
      <c r="AC260" s="482"/>
      <c r="AD260" s="482"/>
      <c r="AE260" s="482"/>
      <c r="AF260" s="482"/>
      <c r="AG260" s="482"/>
      <c r="AH260" s="482"/>
      <c r="AI260" s="482"/>
      <c r="AJ260" s="482"/>
      <c r="AK260" s="482"/>
      <c r="AL260" s="482"/>
      <c r="AM260" s="482"/>
      <c r="AN260" s="482"/>
      <c r="AO260" s="482"/>
      <c r="AP260" s="482"/>
      <c r="AQ260" s="482"/>
      <c r="AR260" s="482"/>
      <c r="AS260" s="482"/>
      <c r="AT260" s="482"/>
      <c r="AU260" s="482"/>
      <c r="AV260" s="482"/>
      <c r="AW260" s="482"/>
      <c r="AX260" s="482"/>
      <c r="AY260" s="486" t="str">
        <f t="shared" si="9"/>
        <v>--</v>
      </c>
      <c r="AZ260" s="487" t="str">
        <f t="shared" si="12"/>
        <v/>
      </c>
      <c r="BA260" s="482"/>
      <c r="BB260" s="482"/>
      <c r="BC260" s="482"/>
      <c r="BD260" s="482"/>
      <c r="BE260" s="482"/>
      <c r="BF260" s="482"/>
      <c r="BG260" s="482"/>
      <c r="BH260" s="482"/>
      <c r="BI260" s="482"/>
      <c r="BJ260" s="482"/>
      <c r="BK260" s="482"/>
      <c r="BL260" s="482"/>
      <c r="BM260" s="482"/>
      <c r="BN260" s="482"/>
      <c r="BO260" s="482"/>
      <c r="BP260" s="482"/>
      <c r="BQ260" s="482"/>
      <c r="BR260" s="482"/>
      <c r="BS260" s="482"/>
      <c r="BT260" s="482"/>
      <c r="BU260" s="482"/>
      <c r="BV260" s="482"/>
      <c r="BW260" s="482"/>
      <c r="BX260" s="482"/>
      <c r="BY260" s="482"/>
      <c r="BZ260" s="482"/>
      <c r="CA260" s="482"/>
      <c r="CB260" s="482"/>
      <c r="CC260" s="482"/>
      <c r="CD260" s="482"/>
      <c r="CE260" s="482"/>
      <c r="CF260" s="482"/>
      <c r="CG260" s="482"/>
      <c r="CH260" s="484"/>
    </row>
    <row r="261" spans="1:90" s="461" customFormat="1" ht="12" customHeight="1" x14ac:dyDescent="0.15">
      <c r="A261" s="522" t="s">
        <v>1294</v>
      </c>
      <c r="B261" s="467">
        <v>42455</v>
      </c>
      <c r="C261" s="468" t="s">
        <v>3732</v>
      </c>
      <c r="D261" s="468" t="s">
        <v>3728</v>
      </c>
      <c r="E261" s="468" t="s">
        <v>3729</v>
      </c>
      <c r="F261" s="468" t="s">
        <v>595</v>
      </c>
      <c r="G261" s="466">
        <v>15</v>
      </c>
      <c r="H261" s="465">
        <v>8.3000000000000007</v>
      </c>
      <c r="I261" s="466"/>
      <c r="J261" s="466"/>
      <c r="K261" s="466">
        <v>11</v>
      </c>
      <c r="L261" s="506">
        <v>3</v>
      </c>
      <c r="M261" s="463">
        <v>16500</v>
      </c>
      <c r="N261" s="468" t="s">
        <v>3762</v>
      </c>
      <c r="O261" s="466">
        <v>11</v>
      </c>
      <c r="P261" s="523">
        <v>-25</v>
      </c>
      <c r="Q261" s="462">
        <v>1.2164351851851852E-3</v>
      </c>
      <c r="R261" s="463">
        <v>0</v>
      </c>
      <c r="S261" s="466"/>
      <c r="T261" s="524" t="s">
        <v>4421</v>
      </c>
      <c r="W261" s="460"/>
      <c r="AY261" s="486" t="str">
        <f t="shared" si="9"/>
        <v/>
      </c>
      <c r="AZ261" s="487" t="str">
        <f t="shared" si="12"/>
        <v/>
      </c>
      <c r="CH261" s="459"/>
    </row>
    <row r="262" spans="1:90" s="469" customFormat="1" ht="12" customHeight="1" x14ac:dyDescent="0.15">
      <c r="A262" s="471" t="s">
        <v>2172</v>
      </c>
      <c r="B262" s="472">
        <v>42456</v>
      </c>
      <c r="C262" s="471" t="s">
        <v>3707</v>
      </c>
      <c r="D262" s="471" t="s">
        <v>3708</v>
      </c>
      <c r="E262" s="471" t="s">
        <v>4325</v>
      </c>
      <c r="F262" s="471" t="s">
        <v>4077</v>
      </c>
      <c r="G262" s="473">
        <v>1</v>
      </c>
      <c r="H262" s="474">
        <v>8.5</v>
      </c>
      <c r="I262" s="475"/>
      <c r="J262" s="475"/>
      <c r="K262" s="473">
        <v>7</v>
      </c>
      <c r="L262" s="477" t="s">
        <v>431</v>
      </c>
      <c r="M262" s="476">
        <v>5000</v>
      </c>
      <c r="N262" s="471" t="s">
        <v>3739</v>
      </c>
      <c r="O262" s="477" t="s">
        <v>431</v>
      </c>
      <c r="P262" s="478" t="s">
        <v>431</v>
      </c>
      <c r="Q262" s="479" t="s">
        <v>431</v>
      </c>
      <c r="R262" s="480" t="s">
        <v>431</v>
      </c>
      <c r="S262" s="477" t="s">
        <v>625</v>
      </c>
      <c r="T262" s="481" t="s">
        <v>4385</v>
      </c>
      <c r="U262" s="482"/>
      <c r="V262" s="482"/>
      <c r="W262" s="483"/>
      <c r="X262" s="482"/>
      <c r="Y262" s="482"/>
      <c r="Z262" s="482"/>
      <c r="AA262" s="482"/>
      <c r="AB262" s="482"/>
      <c r="AC262" s="482"/>
      <c r="AD262" s="482"/>
      <c r="AE262" s="482"/>
      <c r="AF262" s="482"/>
      <c r="AG262" s="482"/>
      <c r="AH262" s="482"/>
      <c r="AI262" s="482"/>
      <c r="AJ262" s="482"/>
      <c r="AK262" s="482"/>
      <c r="AL262" s="482"/>
      <c r="AM262" s="482"/>
      <c r="AN262" s="482"/>
      <c r="AO262" s="482"/>
      <c r="AP262" s="482"/>
      <c r="AQ262" s="482"/>
      <c r="AR262" s="482"/>
      <c r="AS262" s="482"/>
      <c r="AT262" s="482"/>
      <c r="AU262" s="482"/>
      <c r="AV262" s="482"/>
      <c r="AW262" s="482"/>
      <c r="AX262" s="482"/>
      <c r="AY262" s="486" t="str">
        <f t="shared" ref="AY262:AY280" si="13">IF(S262="","",R262)</f>
        <v>--</v>
      </c>
      <c r="AZ262" s="487" t="str">
        <f t="shared" si="12"/>
        <v/>
      </c>
      <c r="BA262" s="482"/>
      <c r="BB262" s="482"/>
      <c r="BC262" s="482"/>
      <c r="BD262" s="482"/>
      <c r="BE262" s="482"/>
      <c r="BF262" s="482"/>
      <c r="BG262" s="482"/>
      <c r="BH262" s="482"/>
      <c r="BI262" s="482"/>
      <c r="BJ262" s="482"/>
      <c r="BK262" s="482"/>
      <c r="BL262" s="482"/>
      <c r="BM262" s="482"/>
      <c r="BN262" s="482"/>
      <c r="BO262" s="482"/>
      <c r="BP262" s="482"/>
      <c r="BQ262" s="482"/>
      <c r="BR262" s="482"/>
      <c r="BS262" s="482"/>
      <c r="BT262" s="482"/>
      <c r="BU262" s="482"/>
      <c r="BV262" s="482"/>
      <c r="BW262" s="482"/>
      <c r="BX262" s="482"/>
      <c r="BY262" s="482"/>
      <c r="BZ262" s="482"/>
      <c r="CA262" s="482"/>
      <c r="CB262" s="482"/>
      <c r="CC262" s="482"/>
      <c r="CD262" s="482"/>
      <c r="CE262" s="482"/>
      <c r="CF262" s="482"/>
      <c r="CG262" s="482"/>
      <c r="CH262" s="484"/>
    </row>
    <row r="263" spans="1:90" s="461" customFormat="1" ht="12" customHeight="1" x14ac:dyDescent="0.15">
      <c r="A263" s="522" t="s">
        <v>4294</v>
      </c>
      <c r="B263" s="467">
        <v>42456</v>
      </c>
      <c r="C263" s="468" t="s">
        <v>3951</v>
      </c>
      <c r="D263" s="468" t="s">
        <v>3725</v>
      </c>
      <c r="E263" s="468" t="s">
        <v>3684</v>
      </c>
      <c r="F263" s="468" t="s">
        <v>3686</v>
      </c>
      <c r="G263" s="466">
        <v>1</v>
      </c>
      <c r="H263" s="465">
        <v>5.5</v>
      </c>
      <c r="I263" s="466"/>
      <c r="J263" s="466" t="s">
        <v>960</v>
      </c>
      <c r="K263" s="466">
        <v>9</v>
      </c>
      <c r="L263" s="506">
        <v>4</v>
      </c>
      <c r="M263" s="463">
        <v>8855</v>
      </c>
      <c r="N263" s="468" t="s">
        <v>4006</v>
      </c>
      <c r="O263" s="466">
        <v>8</v>
      </c>
      <c r="P263" s="523">
        <v>-25.25</v>
      </c>
      <c r="Q263" s="462">
        <v>7.8310185185185178E-4</v>
      </c>
      <c r="R263" s="463">
        <v>99</v>
      </c>
      <c r="S263" s="466" t="s">
        <v>625</v>
      </c>
      <c r="T263" s="524"/>
      <c r="W263" s="460"/>
      <c r="AY263" s="486">
        <f t="shared" si="13"/>
        <v>99</v>
      </c>
      <c r="AZ263" s="487" t="str">
        <f t="shared" si="12"/>
        <v/>
      </c>
      <c r="CH263" s="459"/>
    </row>
    <row r="264" spans="1:90" s="461" customFormat="1" ht="12" customHeight="1" x14ac:dyDescent="0.15">
      <c r="A264" s="522" t="s">
        <v>3776</v>
      </c>
      <c r="B264" s="467">
        <v>42456</v>
      </c>
      <c r="C264" s="468" t="s">
        <v>3726</v>
      </c>
      <c r="D264" s="468" t="s">
        <v>3725</v>
      </c>
      <c r="E264" s="468" t="s">
        <v>3684</v>
      </c>
      <c r="F264" s="468" t="s">
        <v>3686</v>
      </c>
      <c r="G264" s="466">
        <v>4</v>
      </c>
      <c r="H264" s="465">
        <v>7</v>
      </c>
      <c r="I264" s="466"/>
      <c r="J264" s="466" t="s">
        <v>960</v>
      </c>
      <c r="K264" s="466">
        <v>11</v>
      </c>
      <c r="L264" s="506">
        <f>9/2</f>
        <v>4.5</v>
      </c>
      <c r="M264" s="463">
        <v>6928</v>
      </c>
      <c r="N264" s="468" t="s">
        <v>3225</v>
      </c>
      <c r="O264" s="466">
        <v>2</v>
      </c>
      <c r="P264" s="523">
        <v>-0.25</v>
      </c>
      <c r="Q264" s="462">
        <v>1.0087962962962963E-3</v>
      </c>
      <c r="R264" s="463">
        <v>1462</v>
      </c>
      <c r="S264" s="466" t="s">
        <v>625</v>
      </c>
      <c r="T264" s="524"/>
      <c r="W264" s="460"/>
      <c r="AY264" s="486">
        <f t="shared" si="13"/>
        <v>1462</v>
      </c>
      <c r="AZ264" s="487" t="str">
        <f t="shared" si="12"/>
        <v/>
      </c>
      <c r="CH264" s="459"/>
    </row>
    <row r="265" spans="1:90" s="461" customFormat="1" ht="12" customHeight="1" x14ac:dyDescent="0.15">
      <c r="A265" s="522" t="s">
        <v>3369</v>
      </c>
      <c r="B265" s="467">
        <v>42456</v>
      </c>
      <c r="C265" s="468" t="s">
        <v>3370</v>
      </c>
      <c r="D265" s="468" t="s">
        <v>3902</v>
      </c>
      <c r="E265" s="468" t="s">
        <v>3700</v>
      </c>
      <c r="F265" s="468" t="s">
        <v>3686</v>
      </c>
      <c r="G265" s="466">
        <v>5</v>
      </c>
      <c r="H265" s="465">
        <v>5.5</v>
      </c>
      <c r="I265" s="466"/>
      <c r="J265" s="466" t="s">
        <v>960</v>
      </c>
      <c r="K265" s="466">
        <v>12</v>
      </c>
      <c r="L265" s="506">
        <v>3</v>
      </c>
      <c r="M265" s="463">
        <v>5596</v>
      </c>
      <c r="N265" s="468" t="s">
        <v>3653</v>
      </c>
      <c r="O265" s="466">
        <v>7</v>
      </c>
      <c r="P265" s="523">
        <v>-9.75</v>
      </c>
      <c r="Q265" s="462">
        <v>7.7500000000000008E-4</v>
      </c>
      <c r="R265" s="463">
        <v>99</v>
      </c>
      <c r="S265" s="466" t="s">
        <v>625</v>
      </c>
      <c r="T265" s="524" t="s">
        <v>3714</v>
      </c>
      <c r="W265" s="460"/>
      <c r="AY265" s="486">
        <f t="shared" si="13"/>
        <v>99</v>
      </c>
      <c r="AZ265" s="487" t="str">
        <f t="shared" si="12"/>
        <v/>
      </c>
      <c r="CH265" s="459"/>
    </row>
    <row r="266" spans="1:90" s="461" customFormat="1" ht="12" customHeight="1" x14ac:dyDescent="0.15">
      <c r="A266" s="522" t="s">
        <v>3426</v>
      </c>
      <c r="B266" s="467">
        <v>42456</v>
      </c>
      <c r="C266" s="468" t="s">
        <v>3655</v>
      </c>
      <c r="D266" s="468" t="s">
        <v>3298</v>
      </c>
      <c r="E266" s="468" t="s">
        <v>3699</v>
      </c>
      <c r="F266" s="468" t="s">
        <v>3686</v>
      </c>
      <c r="G266" s="466">
        <v>8</v>
      </c>
      <c r="H266" s="465">
        <v>7.5</v>
      </c>
      <c r="I266" s="466"/>
      <c r="J266" s="466" t="s">
        <v>960</v>
      </c>
      <c r="K266" s="466">
        <v>8</v>
      </c>
      <c r="L266" s="506">
        <v>8</v>
      </c>
      <c r="M266" s="463">
        <v>3739</v>
      </c>
      <c r="N266" s="468" t="s">
        <v>3653</v>
      </c>
      <c r="O266" s="466">
        <v>2</v>
      </c>
      <c r="P266" s="523">
        <v>-6.5</v>
      </c>
      <c r="Q266" s="462">
        <v>1.0858796296296296E-3</v>
      </c>
      <c r="R266" s="463">
        <v>1315</v>
      </c>
      <c r="S266" s="466" t="s">
        <v>625</v>
      </c>
      <c r="T266" s="524"/>
      <c r="W266" s="460"/>
      <c r="AY266" s="486">
        <f t="shared" si="13"/>
        <v>1315</v>
      </c>
      <c r="AZ266" s="487" t="str">
        <f t="shared" si="12"/>
        <v/>
      </c>
      <c r="CH266" s="459"/>
    </row>
    <row r="267" spans="1:90" s="469" customFormat="1" ht="12" customHeight="1" x14ac:dyDescent="0.15">
      <c r="A267" s="471" t="s">
        <v>4424</v>
      </c>
      <c r="B267" s="472">
        <v>42456</v>
      </c>
      <c r="C267" s="471" t="s">
        <v>3841</v>
      </c>
      <c r="D267" s="471" t="s">
        <v>3837</v>
      </c>
      <c r="E267" s="471" t="s">
        <v>3700</v>
      </c>
      <c r="F267" s="471" t="s">
        <v>3686</v>
      </c>
      <c r="G267" s="473">
        <v>8</v>
      </c>
      <c r="H267" s="474">
        <v>7.5</v>
      </c>
      <c r="I267" s="475"/>
      <c r="J267" s="475" t="s">
        <v>960</v>
      </c>
      <c r="K267" s="473">
        <v>8</v>
      </c>
      <c r="L267" s="458">
        <f>9/2</f>
        <v>4.5</v>
      </c>
      <c r="M267" s="476">
        <v>3739</v>
      </c>
      <c r="N267" s="471" t="s">
        <v>3653</v>
      </c>
      <c r="O267" s="477" t="s">
        <v>431</v>
      </c>
      <c r="P267" s="478" t="s">
        <v>431</v>
      </c>
      <c r="Q267" s="479" t="s">
        <v>431</v>
      </c>
      <c r="R267" s="480" t="s">
        <v>431</v>
      </c>
      <c r="S267" s="477" t="s">
        <v>625</v>
      </c>
      <c r="T267" s="481" t="s">
        <v>4423</v>
      </c>
      <c r="U267" s="482"/>
      <c r="V267" s="482"/>
      <c r="W267" s="483"/>
      <c r="X267" s="482"/>
      <c r="Y267" s="482"/>
      <c r="Z267" s="482"/>
      <c r="AA267" s="482"/>
      <c r="AB267" s="482"/>
      <c r="AC267" s="482"/>
      <c r="AD267" s="482"/>
      <c r="AE267" s="482"/>
      <c r="AF267" s="482"/>
      <c r="AG267" s="482"/>
      <c r="AH267" s="482"/>
      <c r="AI267" s="482"/>
      <c r="AJ267" s="482"/>
      <c r="AK267" s="482"/>
      <c r="AL267" s="482"/>
      <c r="AM267" s="482"/>
      <c r="AN267" s="482"/>
      <c r="AO267" s="482"/>
      <c r="AP267" s="482"/>
      <c r="AQ267" s="482"/>
      <c r="AR267" s="482"/>
      <c r="AS267" s="482"/>
      <c r="AT267" s="482"/>
      <c r="AU267" s="482"/>
      <c r="AV267" s="482"/>
      <c r="AW267" s="482"/>
      <c r="AX267" s="482"/>
      <c r="AY267" s="486" t="str">
        <f t="shared" si="13"/>
        <v>--</v>
      </c>
      <c r="AZ267" s="487" t="str">
        <f t="shared" si="12"/>
        <v/>
      </c>
      <c r="BA267" s="482"/>
      <c r="BB267" s="482"/>
      <c r="BC267" s="482"/>
      <c r="BD267" s="482"/>
      <c r="BE267" s="482"/>
      <c r="BF267" s="482"/>
      <c r="BG267" s="482"/>
      <c r="BH267" s="482"/>
      <c r="BI267" s="482"/>
      <c r="BJ267" s="482"/>
      <c r="BK267" s="482"/>
      <c r="BL267" s="482"/>
      <c r="BM267" s="482"/>
      <c r="BN267" s="482"/>
      <c r="BO267" s="482"/>
      <c r="BP267" s="482"/>
      <c r="BQ267" s="482"/>
      <c r="BR267" s="482"/>
      <c r="BS267" s="482"/>
      <c r="BT267" s="482"/>
      <c r="BU267" s="482"/>
      <c r="BV267" s="482"/>
      <c r="BW267" s="482"/>
      <c r="BX267" s="482"/>
      <c r="BY267" s="482"/>
      <c r="BZ267" s="482"/>
      <c r="CA267" s="482"/>
      <c r="CB267" s="482"/>
      <c r="CC267" s="482"/>
      <c r="CD267" s="482"/>
      <c r="CE267" s="482"/>
      <c r="CF267" s="482"/>
      <c r="CG267" s="482"/>
      <c r="CH267" s="484"/>
    </row>
    <row r="268" spans="1:90" s="461" customFormat="1" ht="12" customHeight="1" x14ac:dyDescent="0.15">
      <c r="A268" s="522" t="s">
        <v>4010</v>
      </c>
      <c r="B268" s="467">
        <v>42456</v>
      </c>
      <c r="C268" s="468" t="s">
        <v>4015</v>
      </c>
      <c r="D268" s="468" t="s">
        <v>4016</v>
      </c>
      <c r="E268" s="468" t="s">
        <v>3683</v>
      </c>
      <c r="F268" s="468" t="s">
        <v>3686</v>
      </c>
      <c r="G268" s="466">
        <v>9</v>
      </c>
      <c r="H268" s="465">
        <v>7.5</v>
      </c>
      <c r="I268" s="466"/>
      <c r="J268" s="466" t="s">
        <v>960</v>
      </c>
      <c r="K268" s="466">
        <v>12</v>
      </c>
      <c r="L268" s="506">
        <f>7/2</f>
        <v>3.5</v>
      </c>
      <c r="M268" s="463">
        <v>7318</v>
      </c>
      <c r="N268" s="468" t="s">
        <v>3225</v>
      </c>
      <c r="O268" s="466">
        <v>5</v>
      </c>
      <c r="P268" s="523">
        <v>-11.25</v>
      </c>
      <c r="Q268" s="462">
        <v>1.0575231481481481E-3</v>
      </c>
      <c r="R268" s="463">
        <v>294</v>
      </c>
      <c r="S268" s="466" t="s">
        <v>625</v>
      </c>
      <c r="T268" s="524" t="s">
        <v>3755</v>
      </c>
      <c r="W268" s="460"/>
      <c r="AY268" s="486">
        <f t="shared" si="13"/>
        <v>294</v>
      </c>
      <c r="AZ268" s="487" t="str">
        <f t="shared" si="12"/>
        <v/>
      </c>
      <c r="CH268" s="459"/>
    </row>
    <row r="269" spans="1:90" s="461" customFormat="1" ht="12" customHeight="1" x14ac:dyDescent="0.15">
      <c r="A269" s="522" t="s">
        <v>3941</v>
      </c>
      <c r="B269" s="467">
        <v>42456</v>
      </c>
      <c r="C269" s="468" t="s">
        <v>2744</v>
      </c>
      <c r="D269" s="468" t="s">
        <v>3832</v>
      </c>
      <c r="E269" s="468" t="s">
        <v>4299</v>
      </c>
      <c r="F269" s="468" t="s">
        <v>3686</v>
      </c>
      <c r="G269" s="466">
        <v>12</v>
      </c>
      <c r="H269" s="465">
        <v>6</v>
      </c>
      <c r="I269" s="466"/>
      <c r="J269" s="466" t="s">
        <v>960</v>
      </c>
      <c r="K269" s="466">
        <v>13</v>
      </c>
      <c r="L269" s="506">
        <f>9/2</f>
        <v>4.5</v>
      </c>
      <c r="M269" s="463">
        <v>6559</v>
      </c>
      <c r="N269" s="468" t="s">
        <v>3225</v>
      </c>
      <c r="O269" s="466">
        <v>2</v>
      </c>
      <c r="P269" s="523">
        <v>-1</v>
      </c>
      <c r="Q269" s="462">
        <v>8.4131944444444445E-4</v>
      </c>
      <c r="R269" s="463">
        <v>1385</v>
      </c>
      <c r="S269" s="466" t="s">
        <v>625</v>
      </c>
      <c r="T269" s="524"/>
      <c r="W269" s="460"/>
      <c r="AY269" s="486">
        <f t="shared" si="13"/>
        <v>1385</v>
      </c>
      <c r="AZ269" s="487" t="str">
        <f t="shared" si="12"/>
        <v/>
      </c>
      <c r="CH269" s="459"/>
    </row>
    <row r="270" spans="1:90" s="461" customFormat="1" ht="12" customHeight="1" x14ac:dyDescent="0.15">
      <c r="A270" s="522" t="s">
        <v>2276</v>
      </c>
      <c r="B270" s="467">
        <v>42458</v>
      </c>
      <c r="C270" s="468" t="s">
        <v>1786</v>
      </c>
      <c r="D270" s="468" t="s">
        <v>4257</v>
      </c>
      <c r="E270" s="468" t="s">
        <v>4127</v>
      </c>
      <c r="F270" s="468" t="s">
        <v>4171</v>
      </c>
      <c r="G270" s="466">
        <v>8</v>
      </c>
      <c r="H270" s="465">
        <v>6</v>
      </c>
      <c r="I270" s="466"/>
      <c r="J270" s="466"/>
      <c r="K270" s="466">
        <v>8</v>
      </c>
      <c r="L270" s="506">
        <v>12</v>
      </c>
      <c r="M270" s="463">
        <v>42000</v>
      </c>
      <c r="N270" s="468" t="s">
        <v>4258</v>
      </c>
      <c r="O270" s="466">
        <v>8</v>
      </c>
      <c r="P270" s="523">
        <v>-18.25</v>
      </c>
      <c r="Q270" s="462">
        <v>8.3275462962962958E-4</v>
      </c>
      <c r="R270" s="463">
        <v>200</v>
      </c>
      <c r="S270" s="466"/>
      <c r="T270" s="524"/>
      <c r="W270" s="460"/>
      <c r="AY270" s="486" t="str">
        <f t="shared" si="13"/>
        <v/>
      </c>
      <c r="AZ270" s="487" t="str">
        <f t="shared" si="12"/>
        <v/>
      </c>
      <c r="CH270" s="459"/>
    </row>
    <row r="271" spans="1:90" s="469" customFormat="1" ht="12" customHeight="1" x14ac:dyDescent="0.15">
      <c r="A271" s="444" t="s">
        <v>3183</v>
      </c>
      <c r="B271" s="445">
        <v>42459</v>
      </c>
      <c r="C271" s="446" t="s">
        <v>4027</v>
      </c>
      <c r="D271" s="446" t="s">
        <v>4028</v>
      </c>
      <c r="E271" s="446" t="s">
        <v>4029</v>
      </c>
      <c r="F271" s="446" t="s">
        <v>540</v>
      </c>
      <c r="G271" s="447">
        <v>5</v>
      </c>
      <c r="H271" s="448">
        <v>8</v>
      </c>
      <c r="I271" s="447" t="s">
        <v>3730</v>
      </c>
      <c r="J271" s="447"/>
      <c r="K271" s="447">
        <v>9</v>
      </c>
      <c r="L271" s="449">
        <v>10</v>
      </c>
      <c r="M271" s="450">
        <v>30000</v>
      </c>
      <c r="N271" s="446" t="s">
        <v>4405</v>
      </c>
      <c r="O271" s="447">
        <v>1</v>
      </c>
      <c r="P271" s="451">
        <v>0.5</v>
      </c>
      <c r="Q271" s="452">
        <v>1.1087962962962963E-3</v>
      </c>
      <c r="R271" s="450">
        <v>15600</v>
      </c>
      <c r="S271" s="447"/>
      <c r="T271" s="453"/>
      <c r="U271" s="454"/>
      <c r="V271" s="454"/>
      <c r="W271" s="455"/>
      <c r="X271" s="454"/>
      <c r="Y271" s="454"/>
      <c r="Z271" s="454"/>
      <c r="AA271" s="454"/>
      <c r="AB271" s="454"/>
      <c r="AC271" s="454"/>
      <c r="AD271" s="454"/>
      <c r="AE271" s="454"/>
      <c r="AF271" s="454"/>
      <c r="AG271" s="454"/>
      <c r="AH271" s="454"/>
      <c r="AI271" s="454"/>
      <c r="AJ271" s="454"/>
      <c r="AK271" s="454"/>
      <c r="AL271" s="454"/>
      <c r="AM271" s="454"/>
      <c r="AN271" s="454"/>
      <c r="AO271" s="454"/>
      <c r="AP271" s="454"/>
      <c r="AQ271" s="454"/>
      <c r="AR271" s="454"/>
      <c r="AS271" s="454"/>
      <c r="AT271" s="454"/>
      <c r="AU271" s="454"/>
      <c r="AV271" s="454"/>
      <c r="AW271" s="454"/>
      <c r="AX271" s="454"/>
      <c r="AY271" s="486" t="str">
        <f t="shared" si="13"/>
        <v/>
      </c>
      <c r="AZ271" s="487">
        <f t="shared" ref="AZ271:AZ289" si="14">IF(F271="Pleasant Meadows","",IF(L271="","",IF(O271="--","",IF(O271=1,1,""))))</f>
        <v>1</v>
      </c>
      <c r="BA271" s="454"/>
      <c r="BB271" s="454"/>
      <c r="BC271" s="454"/>
      <c r="BD271" s="454"/>
      <c r="BE271" s="454"/>
      <c r="BF271" s="454"/>
      <c r="BG271" s="454"/>
      <c r="BH271" s="454"/>
      <c r="BI271" s="454"/>
      <c r="BJ271" s="454"/>
      <c r="BK271" s="454"/>
      <c r="BL271" s="454"/>
      <c r="BM271" s="454"/>
      <c r="BN271" s="454"/>
      <c r="BO271" s="454"/>
      <c r="BP271" s="454"/>
      <c r="BQ271" s="454"/>
      <c r="BR271" s="454"/>
      <c r="BS271" s="454"/>
      <c r="BT271" s="454"/>
      <c r="BU271" s="454"/>
      <c r="BV271" s="454"/>
      <c r="BW271" s="454"/>
      <c r="BX271" s="454"/>
      <c r="BY271" s="454"/>
      <c r="BZ271" s="454"/>
      <c r="CA271" s="454"/>
      <c r="CB271" s="454"/>
      <c r="CC271" s="454"/>
      <c r="CD271" s="454"/>
      <c r="CE271" s="454"/>
      <c r="CF271" s="454"/>
      <c r="CG271" s="454"/>
      <c r="CH271" s="456"/>
      <c r="CI271" s="454"/>
      <c r="CJ271" s="454"/>
      <c r="CK271" s="454"/>
      <c r="CL271" s="454"/>
    </row>
    <row r="272" spans="1:90" s="469" customFormat="1" ht="12" customHeight="1" x14ac:dyDescent="0.15">
      <c r="A272" s="444" t="s">
        <v>3154</v>
      </c>
      <c r="B272" s="445">
        <v>42459</v>
      </c>
      <c r="C272" s="446" t="s">
        <v>4170</v>
      </c>
      <c r="D272" s="446" t="s">
        <v>3705</v>
      </c>
      <c r="E272" s="446" t="s">
        <v>3856</v>
      </c>
      <c r="F272" s="446" t="s">
        <v>2376</v>
      </c>
      <c r="G272" s="447">
        <v>6</v>
      </c>
      <c r="H272" s="448">
        <v>6</v>
      </c>
      <c r="I272" s="447"/>
      <c r="J272" s="447"/>
      <c r="K272" s="447">
        <v>6</v>
      </c>
      <c r="L272" s="449">
        <v>3</v>
      </c>
      <c r="M272" s="450">
        <v>33300</v>
      </c>
      <c r="N272" s="446" t="s">
        <v>3225</v>
      </c>
      <c r="O272" s="447">
        <v>1</v>
      </c>
      <c r="P272" s="451">
        <v>4.75</v>
      </c>
      <c r="Q272" s="452">
        <v>8.1863425925925929E-4</v>
      </c>
      <c r="R272" s="450">
        <v>19980</v>
      </c>
      <c r="S272" s="447"/>
      <c r="T272" s="453" t="s">
        <v>3714</v>
      </c>
      <c r="U272" s="454"/>
      <c r="V272" s="454"/>
      <c r="W272" s="455"/>
      <c r="X272" s="454"/>
      <c r="Y272" s="454"/>
      <c r="Z272" s="454"/>
      <c r="AA272" s="454"/>
      <c r="AB272" s="454"/>
      <c r="AC272" s="454"/>
      <c r="AD272" s="454"/>
      <c r="AE272" s="454"/>
      <c r="AF272" s="454"/>
      <c r="AG272" s="454"/>
      <c r="AH272" s="454"/>
      <c r="AI272" s="454"/>
      <c r="AJ272" s="454"/>
      <c r="AK272" s="454"/>
      <c r="AL272" s="454"/>
      <c r="AM272" s="454"/>
      <c r="AN272" s="454"/>
      <c r="AO272" s="454"/>
      <c r="AP272" s="454"/>
      <c r="AQ272" s="454"/>
      <c r="AR272" s="454"/>
      <c r="AS272" s="454"/>
      <c r="AT272" s="454"/>
      <c r="AU272" s="454"/>
      <c r="AV272" s="454"/>
      <c r="AW272" s="454"/>
      <c r="AX272" s="454"/>
      <c r="AY272" s="486" t="str">
        <f t="shared" si="13"/>
        <v/>
      </c>
      <c r="AZ272" s="487">
        <f t="shared" si="14"/>
        <v>1</v>
      </c>
      <c r="BA272" s="454"/>
      <c r="BB272" s="454"/>
      <c r="BC272" s="454"/>
      <c r="BD272" s="454"/>
      <c r="BE272" s="454"/>
      <c r="BF272" s="454"/>
      <c r="BG272" s="454"/>
      <c r="BH272" s="454"/>
      <c r="BI272" s="454"/>
      <c r="BJ272" s="454"/>
      <c r="BK272" s="454"/>
      <c r="BL272" s="454"/>
      <c r="BM272" s="454"/>
      <c r="BN272" s="454"/>
      <c r="BO272" s="454"/>
      <c r="BP272" s="454"/>
      <c r="BQ272" s="454"/>
      <c r="BR272" s="454"/>
      <c r="BS272" s="454"/>
      <c r="BT272" s="454"/>
      <c r="BU272" s="454"/>
      <c r="BV272" s="454"/>
      <c r="BW272" s="454"/>
      <c r="BX272" s="454"/>
      <c r="BY272" s="454"/>
      <c r="BZ272" s="454"/>
      <c r="CA272" s="454"/>
      <c r="CB272" s="454"/>
      <c r="CC272" s="454"/>
      <c r="CD272" s="454"/>
      <c r="CE272" s="454"/>
      <c r="CF272" s="454"/>
      <c r="CG272" s="454"/>
      <c r="CH272" s="456"/>
      <c r="CI272" s="454"/>
      <c r="CJ272" s="454"/>
      <c r="CK272" s="454"/>
      <c r="CL272" s="454"/>
    </row>
    <row r="273" spans="1:90" s="461" customFormat="1" ht="12" customHeight="1" x14ac:dyDescent="0.15">
      <c r="A273" s="522" t="s">
        <v>2178</v>
      </c>
      <c r="B273" s="467">
        <v>42459</v>
      </c>
      <c r="C273" s="468" t="s">
        <v>4402</v>
      </c>
      <c r="D273" s="468" t="s">
        <v>4403</v>
      </c>
      <c r="E273" s="468" t="s">
        <v>4404</v>
      </c>
      <c r="F273" s="468" t="s">
        <v>2376</v>
      </c>
      <c r="G273" s="466">
        <v>8</v>
      </c>
      <c r="H273" s="465">
        <v>5.5</v>
      </c>
      <c r="I273" s="466"/>
      <c r="J273" s="466"/>
      <c r="K273" s="466">
        <v>7</v>
      </c>
      <c r="L273" s="525">
        <v>6</v>
      </c>
      <c r="M273" s="463">
        <v>11400</v>
      </c>
      <c r="N273" s="468" t="s">
        <v>3762</v>
      </c>
      <c r="O273" s="466">
        <v>6</v>
      </c>
      <c r="P273" s="523">
        <v>-12.5</v>
      </c>
      <c r="Q273" s="462" t="s">
        <v>3188</v>
      </c>
      <c r="R273" s="463">
        <v>0</v>
      </c>
      <c r="S273" s="466"/>
      <c r="T273" s="524" t="s">
        <v>4442</v>
      </c>
      <c r="W273" s="460"/>
      <c r="AY273" s="486" t="str">
        <f t="shared" si="13"/>
        <v/>
      </c>
      <c r="AZ273" s="487" t="str">
        <f t="shared" si="14"/>
        <v/>
      </c>
      <c r="CH273" s="459"/>
    </row>
    <row r="274" spans="1:90" s="461" customFormat="1" ht="12" customHeight="1" x14ac:dyDescent="0.15">
      <c r="A274" s="522" t="s">
        <v>2155</v>
      </c>
      <c r="B274" s="467">
        <v>42461</v>
      </c>
      <c r="C274" s="468" t="s">
        <v>1767</v>
      </c>
      <c r="D274" s="468" t="s">
        <v>3881</v>
      </c>
      <c r="E274" s="468" t="s">
        <v>3189</v>
      </c>
      <c r="F274" s="468" t="s">
        <v>788</v>
      </c>
      <c r="G274" s="466">
        <v>8</v>
      </c>
      <c r="H274" s="465">
        <v>8</v>
      </c>
      <c r="I274" s="466"/>
      <c r="J274" s="466"/>
      <c r="K274" s="466">
        <v>11</v>
      </c>
      <c r="L274" s="525">
        <v>20</v>
      </c>
      <c r="M274" s="463">
        <v>45000</v>
      </c>
      <c r="N274" s="468" t="s">
        <v>3882</v>
      </c>
      <c r="O274" s="466">
        <v>8</v>
      </c>
      <c r="P274" s="523">
        <v>-14</v>
      </c>
      <c r="Q274" s="462">
        <v>1.1189814814814814E-3</v>
      </c>
      <c r="R274" s="463">
        <v>0</v>
      </c>
      <c r="S274" s="466"/>
      <c r="T274" s="524"/>
      <c r="W274" s="460"/>
      <c r="AY274" s="486" t="str">
        <f t="shared" si="13"/>
        <v/>
      </c>
      <c r="AZ274" s="487" t="str">
        <f t="shared" si="14"/>
        <v/>
      </c>
      <c r="CH274" s="459"/>
    </row>
    <row r="275" spans="1:90" s="461" customFormat="1" ht="12" customHeight="1" x14ac:dyDescent="0.15">
      <c r="A275" s="522" t="s">
        <v>1942</v>
      </c>
      <c r="B275" s="467">
        <v>42461</v>
      </c>
      <c r="C275" s="468" t="s">
        <v>4413</v>
      </c>
      <c r="D275" s="468" t="s">
        <v>4414</v>
      </c>
      <c r="E275" s="468" t="s">
        <v>4415</v>
      </c>
      <c r="F275" s="468" t="s">
        <v>1068</v>
      </c>
      <c r="G275" s="466">
        <v>10</v>
      </c>
      <c r="H275" s="465">
        <v>8</v>
      </c>
      <c r="I275" s="466" t="s">
        <v>3730</v>
      </c>
      <c r="J275" s="466"/>
      <c r="K275" s="466">
        <v>12</v>
      </c>
      <c r="L275" s="525">
        <v>15</v>
      </c>
      <c r="M275" s="463">
        <v>15500</v>
      </c>
      <c r="N275" s="468" t="s">
        <v>4416</v>
      </c>
      <c r="O275" s="466">
        <v>10</v>
      </c>
      <c r="P275" s="523">
        <v>-39.75</v>
      </c>
      <c r="Q275" s="462">
        <v>1.1201388888888888E-3</v>
      </c>
      <c r="R275" s="463">
        <v>135</v>
      </c>
      <c r="S275" s="466"/>
      <c r="T275" s="524"/>
      <c r="W275" s="460"/>
      <c r="AY275" s="486" t="str">
        <f t="shared" si="13"/>
        <v/>
      </c>
      <c r="AZ275" s="487" t="str">
        <f t="shared" si="14"/>
        <v/>
      </c>
      <c r="CH275" s="459"/>
    </row>
    <row r="276" spans="1:90" s="461" customFormat="1" ht="12" customHeight="1" x14ac:dyDescent="0.15">
      <c r="A276" s="522" t="s">
        <v>4063</v>
      </c>
      <c r="B276" s="467">
        <v>42461</v>
      </c>
      <c r="C276" s="468" t="s">
        <v>4064</v>
      </c>
      <c r="D276" s="468" t="s">
        <v>4014</v>
      </c>
      <c r="E276" s="468" t="s">
        <v>4764</v>
      </c>
      <c r="F276" s="468" t="s">
        <v>3686</v>
      </c>
      <c r="G276" s="466">
        <v>1</v>
      </c>
      <c r="H276" s="465">
        <v>9</v>
      </c>
      <c r="I276" s="466"/>
      <c r="J276" s="466"/>
      <c r="K276" s="466">
        <v>7</v>
      </c>
      <c r="L276" s="506">
        <v>6</v>
      </c>
      <c r="M276" s="463">
        <v>7643</v>
      </c>
      <c r="N276" s="468" t="s">
        <v>3653</v>
      </c>
      <c r="O276" s="466">
        <v>3</v>
      </c>
      <c r="P276" s="523">
        <v>-7.75</v>
      </c>
      <c r="Q276" s="462">
        <v>1.2939814814814815E-3</v>
      </c>
      <c r="R276" s="463">
        <v>1005</v>
      </c>
      <c r="S276" s="466" t="s">
        <v>625</v>
      </c>
      <c r="T276" s="524"/>
      <c r="W276" s="460"/>
      <c r="AY276" s="486">
        <f t="shared" si="13"/>
        <v>1005</v>
      </c>
      <c r="AZ276" s="487" t="str">
        <f t="shared" si="14"/>
        <v/>
      </c>
      <c r="CH276" s="459"/>
    </row>
    <row r="277" spans="1:90" s="461" customFormat="1" ht="12" customHeight="1" x14ac:dyDescent="0.15">
      <c r="A277" s="522" t="s">
        <v>1529</v>
      </c>
      <c r="B277" s="467">
        <v>42462</v>
      </c>
      <c r="C277" s="468" t="s">
        <v>3617</v>
      </c>
      <c r="D277" s="468" t="s">
        <v>3618</v>
      </c>
      <c r="E277" s="468" t="s">
        <v>4184</v>
      </c>
      <c r="F277" s="468" t="s">
        <v>525</v>
      </c>
      <c r="G277" s="466">
        <v>2</v>
      </c>
      <c r="H277" s="465">
        <v>6</v>
      </c>
      <c r="I277" s="466"/>
      <c r="J277" s="466" t="s">
        <v>4366</v>
      </c>
      <c r="K277" s="466">
        <v>6</v>
      </c>
      <c r="L277" s="525">
        <v>6</v>
      </c>
      <c r="M277" s="463">
        <v>55000</v>
      </c>
      <c r="N277" s="468" t="s">
        <v>4383</v>
      </c>
      <c r="O277" s="466">
        <v>3</v>
      </c>
      <c r="P277" s="523">
        <v>-1.5</v>
      </c>
      <c r="Q277" s="462">
        <v>8.3854166666666669E-4</v>
      </c>
      <c r="R277" s="463">
        <v>5500</v>
      </c>
      <c r="S277" s="466"/>
      <c r="T277" s="524"/>
      <c r="W277" s="460"/>
      <c r="AY277" s="486" t="str">
        <f t="shared" si="13"/>
        <v/>
      </c>
      <c r="AZ277" s="487" t="str">
        <f t="shared" si="14"/>
        <v/>
      </c>
      <c r="CH277" s="459"/>
    </row>
    <row r="278" spans="1:90" s="469" customFormat="1" ht="12" customHeight="1" x14ac:dyDescent="0.15">
      <c r="A278" s="471" t="s">
        <v>1529</v>
      </c>
      <c r="B278" s="472">
        <v>42462</v>
      </c>
      <c r="C278" s="471" t="s">
        <v>3617</v>
      </c>
      <c r="D278" s="471" t="s">
        <v>3618</v>
      </c>
      <c r="E278" s="471" t="s">
        <v>3188</v>
      </c>
      <c r="F278" s="471" t="s">
        <v>525</v>
      </c>
      <c r="G278" s="473">
        <v>4</v>
      </c>
      <c r="H278" s="474">
        <v>8</v>
      </c>
      <c r="I278" s="475"/>
      <c r="J278" s="475"/>
      <c r="K278" s="473">
        <v>7</v>
      </c>
      <c r="L278" s="477" t="s">
        <v>431</v>
      </c>
      <c r="M278" s="476">
        <v>60000</v>
      </c>
      <c r="N278" s="471" t="s">
        <v>4382</v>
      </c>
      <c r="O278" s="477" t="s">
        <v>431</v>
      </c>
      <c r="P278" s="478" t="s">
        <v>431</v>
      </c>
      <c r="Q278" s="479" t="s">
        <v>431</v>
      </c>
      <c r="R278" s="480" t="s">
        <v>431</v>
      </c>
      <c r="S278" s="477"/>
      <c r="T278" s="481" t="s">
        <v>4438</v>
      </c>
      <c r="U278" s="482"/>
      <c r="V278" s="482"/>
      <c r="W278" s="483"/>
      <c r="X278" s="482"/>
      <c r="Y278" s="482"/>
      <c r="Z278" s="482"/>
      <c r="AA278" s="482"/>
      <c r="AB278" s="482"/>
      <c r="AC278" s="482"/>
      <c r="AD278" s="482"/>
      <c r="AE278" s="482"/>
      <c r="AF278" s="482"/>
      <c r="AG278" s="482"/>
      <c r="AH278" s="482"/>
      <c r="AI278" s="482"/>
      <c r="AJ278" s="482"/>
      <c r="AK278" s="482"/>
      <c r="AL278" s="482"/>
      <c r="AM278" s="482"/>
      <c r="AN278" s="482"/>
      <c r="AO278" s="482"/>
      <c r="AP278" s="482"/>
      <c r="AQ278" s="482"/>
      <c r="AR278" s="482"/>
      <c r="AS278" s="482"/>
      <c r="AT278" s="482"/>
      <c r="AU278" s="482"/>
      <c r="AV278" s="482"/>
      <c r="AW278" s="482"/>
      <c r="AX278" s="482"/>
      <c r="AY278" s="486" t="str">
        <f t="shared" si="13"/>
        <v/>
      </c>
      <c r="AZ278" s="487" t="str">
        <f t="shared" si="14"/>
        <v/>
      </c>
      <c r="BA278" s="482"/>
      <c r="BB278" s="482"/>
      <c r="BC278" s="482"/>
      <c r="BD278" s="482"/>
      <c r="BE278" s="482"/>
      <c r="BF278" s="482"/>
      <c r="BG278" s="482"/>
      <c r="BH278" s="482"/>
      <c r="BI278" s="482"/>
      <c r="BJ278" s="482"/>
      <c r="BK278" s="482"/>
      <c r="BL278" s="482"/>
      <c r="BM278" s="482"/>
      <c r="BN278" s="482"/>
      <c r="BO278" s="482"/>
      <c r="BP278" s="482"/>
      <c r="BQ278" s="482"/>
      <c r="BR278" s="482"/>
      <c r="BS278" s="482"/>
      <c r="BT278" s="482"/>
      <c r="BU278" s="482"/>
      <c r="BV278" s="482"/>
      <c r="BW278" s="482"/>
      <c r="BX278" s="482"/>
      <c r="BY278" s="482"/>
      <c r="BZ278" s="482"/>
      <c r="CA278" s="482"/>
      <c r="CB278" s="482"/>
      <c r="CC278" s="482"/>
      <c r="CD278" s="482"/>
      <c r="CE278" s="482"/>
      <c r="CF278" s="482"/>
      <c r="CG278" s="482"/>
      <c r="CH278" s="484"/>
    </row>
    <row r="279" spans="1:90" s="461" customFormat="1" ht="12" customHeight="1" x14ac:dyDescent="0.15">
      <c r="A279" s="522" t="s">
        <v>3935</v>
      </c>
      <c r="B279" s="467">
        <v>42462</v>
      </c>
      <c r="C279" s="468" t="s">
        <v>2546</v>
      </c>
      <c r="D279" s="468" t="s">
        <v>3936</v>
      </c>
      <c r="E279" s="468" t="s">
        <v>3959</v>
      </c>
      <c r="F279" s="468" t="s">
        <v>3686</v>
      </c>
      <c r="G279" s="466">
        <v>1</v>
      </c>
      <c r="H279" s="465">
        <v>6</v>
      </c>
      <c r="I279" s="466"/>
      <c r="J279" s="466" t="s">
        <v>960</v>
      </c>
      <c r="K279" s="466">
        <v>9</v>
      </c>
      <c r="L279" s="525">
        <v>5</v>
      </c>
      <c r="M279" s="463">
        <v>5618</v>
      </c>
      <c r="N279" s="468" t="s">
        <v>3653</v>
      </c>
      <c r="O279" s="466">
        <v>3</v>
      </c>
      <c r="P279" s="523">
        <v>-1.25</v>
      </c>
      <c r="Q279" s="462">
        <v>8.4768518518518526E-4</v>
      </c>
      <c r="R279" s="463">
        <v>739</v>
      </c>
      <c r="S279" s="466" t="s">
        <v>625</v>
      </c>
      <c r="T279" s="524"/>
      <c r="W279" s="460"/>
      <c r="AY279" s="486">
        <f t="shared" si="13"/>
        <v>739</v>
      </c>
      <c r="AZ279" s="487" t="str">
        <f t="shared" si="14"/>
        <v/>
      </c>
      <c r="CH279" s="459"/>
    </row>
    <row r="280" spans="1:90" s="469" customFormat="1" ht="12" customHeight="1" x14ac:dyDescent="0.15">
      <c r="A280" s="444" t="s">
        <v>3825</v>
      </c>
      <c r="B280" s="445">
        <v>42462</v>
      </c>
      <c r="C280" s="446" t="s">
        <v>3826</v>
      </c>
      <c r="D280" s="446" t="s">
        <v>3827</v>
      </c>
      <c r="E280" s="446" t="s">
        <v>3700</v>
      </c>
      <c r="F280" s="446" t="s">
        <v>3686</v>
      </c>
      <c r="G280" s="447">
        <v>3</v>
      </c>
      <c r="H280" s="447">
        <v>6.5</v>
      </c>
      <c r="I280" s="447"/>
      <c r="J280" s="447" t="s">
        <v>960</v>
      </c>
      <c r="K280" s="447">
        <v>7</v>
      </c>
      <c r="L280" s="449">
        <v>4</v>
      </c>
      <c r="M280" s="450">
        <v>17134</v>
      </c>
      <c r="N280" s="446" t="s">
        <v>4458</v>
      </c>
      <c r="O280" s="447">
        <v>1</v>
      </c>
      <c r="P280" s="451">
        <v>4</v>
      </c>
      <c r="Q280" s="452">
        <v>8.8958333333333326E-4</v>
      </c>
      <c r="R280" s="450">
        <v>10402</v>
      </c>
      <c r="S280" s="447" t="s">
        <v>625</v>
      </c>
      <c r="T280" s="453"/>
      <c r="U280" s="454"/>
      <c r="V280" s="454"/>
      <c r="W280" s="455"/>
      <c r="X280" s="454"/>
      <c r="Y280" s="454"/>
      <c r="Z280" s="454"/>
      <c r="AA280" s="454"/>
      <c r="AB280" s="454"/>
      <c r="AC280" s="454"/>
      <c r="AD280" s="454"/>
      <c r="AE280" s="454"/>
      <c r="AF280" s="454"/>
      <c r="AG280" s="454"/>
      <c r="AH280" s="454"/>
      <c r="AI280" s="454"/>
      <c r="AJ280" s="454"/>
      <c r="AK280" s="454"/>
      <c r="AL280" s="454"/>
      <c r="AM280" s="454"/>
      <c r="AN280" s="454"/>
      <c r="AO280" s="454"/>
      <c r="AP280" s="454"/>
      <c r="AQ280" s="454"/>
      <c r="AR280" s="454"/>
      <c r="AS280" s="454"/>
      <c r="AT280" s="454"/>
      <c r="AU280" s="454"/>
      <c r="AV280" s="454"/>
      <c r="AW280" s="454"/>
      <c r="AX280" s="454"/>
      <c r="AY280" s="486">
        <f t="shared" si="13"/>
        <v>10402</v>
      </c>
      <c r="AZ280" s="487">
        <f t="shared" si="14"/>
        <v>1</v>
      </c>
      <c r="BA280" s="454"/>
      <c r="BB280" s="454"/>
      <c r="BC280" s="454"/>
      <c r="BD280" s="454"/>
      <c r="BE280" s="454"/>
      <c r="BF280" s="454"/>
      <c r="BG280" s="454"/>
      <c r="BH280" s="454"/>
      <c r="BI280" s="454"/>
      <c r="BJ280" s="454"/>
      <c r="BK280" s="454"/>
      <c r="BL280" s="454"/>
      <c r="BM280" s="454"/>
      <c r="BN280" s="454"/>
      <c r="BO280" s="454"/>
      <c r="BP280" s="454"/>
      <c r="BQ280" s="454"/>
      <c r="BR280" s="454"/>
      <c r="BS280" s="454"/>
      <c r="BT280" s="454"/>
      <c r="BU280" s="454"/>
      <c r="BV280" s="454"/>
      <c r="BW280" s="454"/>
      <c r="BX280" s="454"/>
      <c r="BY280" s="454"/>
      <c r="BZ280" s="454"/>
      <c r="CA280" s="454"/>
      <c r="CB280" s="454"/>
      <c r="CC280" s="454"/>
      <c r="CD280" s="454"/>
      <c r="CE280" s="454"/>
      <c r="CF280" s="454"/>
      <c r="CG280" s="454"/>
      <c r="CH280" s="456"/>
      <c r="CI280" s="454"/>
      <c r="CJ280" s="454"/>
      <c r="CK280" s="454"/>
      <c r="CL280" s="454"/>
    </row>
    <row r="281" spans="1:90" s="469" customFormat="1" ht="12" customHeight="1" x14ac:dyDescent="0.15">
      <c r="A281" s="471" t="s">
        <v>321</v>
      </c>
      <c r="B281" s="472">
        <v>42462</v>
      </c>
      <c r="C281" s="471" t="s">
        <v>4227</v>
      </c>
      <c r="D281" s="471" t="s">
        <v>4228</v>
      </c>
      <c r="E281" s="471" t="s">
        <v>3967</v>
      </c>
      <c r="F281" s="471" t="s">
        <v>788</v>
      </c>
      <c r="G281" s="473">
        <v>6</v>
      </c>
      <c r="H281" s="474">
        <v>8.5</v>
      </c>
      <c r="I281" s="475" t="s">
        <v>3730</v>
      </c>
      <c r="J281" s="475"/>
      <c r="K281" s="473">
        <v>10</v>
      </c>
      <c r="L281" s="458">
        <v>5</v>
      </c>
      <c r="M281" s="476">
        <v>23000</v>
      </c>
      <c r="N281" s="471" t="s">
        <v>3713</v>
      </c>
      <c r="O281" s="477" t="s">
        <v>431</v>
      </c>
      <c r="P281" s="478" t="s">
        <v>431</v>
      </c>
      <c r="Q281" s="479" t="s">
        <v>431</v>
      </c>
      <c r="R281" s="480" t="s">
        <v>431</v>
      </c>
      <c r="S281" s="477"/>
      <c r="T281" s="481" t="s">
        <v>4038</v>
      </c>
      <c r="U281" s="482"/>
      <c r="V281" s="482"/>
      <c r="W281" s="483"/>
      <c r="X281" s="482"/>
      <c r="Y281" s="482"/>
      <c r="Z281" s="482"/>
      <c r="AA281" s="482"/>
      <c r="AB281" s="482"/>
      <c r="AC281" s="482"/>
      <c r="AD281" s="482"/>
      <c r="AE281" s="482"/>
      <c r="AF281" s="482"/>
      <c r="AG281" s="482"/>
      <c r="AH281" s="482"/>
      <c r="AI281" s="482"/>
      <c r="AJ281" s="482"/>
      <c r="AK281" s="482"/>
      <c r="AL281" s="482"/>
      <c r="AM281" s="482"/>
      <c r="AN281" s="482"/>
      <c r="AO281" s="482"/>
      <c r="AP281" s="482"/>
      <c r="AQ281" s="482"/>
      <c r="AR281" s="482"/>
      <c r="AS281" s="482"/>
      <c r="AT281" s="482"/>
      <c r="AU281" s="482"/>
      <c r="AV281" s="482"/>
      <c r="AW281" s="482"/>
      <c r="AX281" s="482"/>
      <c r="AY281" s="486"/>
      <c r="AZ281" s="487" t="str">
        <f t="shared" si="14"/>
        <v/>
      </c>
      <c r="BA281" s="482"/>
      <c r="BB281" s="482"/>
      <c r="BC281" s="482"/>
      <c r="BD281" s="482"/>
      <c r="BE281" s="482"/>
      <c r="BF281" s="482"/>
      <c r="BG281" s="482"/>
      <c r="BH281" s="482"/>
      <c r="BI281" s="482"/>
      <c r="BJ281" s="482"/>
      <c r="BK281" s="482"/>
      <c r="BL281" s="482"/>
      <c r="BM281" s="482"/>
      <c r="BN281" s="482"/>
      <c r="BO281" s="482"/>
      <c r="BP281" s="482"/>
      <c r="BQ281" s="482"/>
      <c r="BR281" s="482"/>
      <c r="BS281" s="482"/>
      <c r="BT281" s="482"/>
      <c r="BU281" s="482"/>
      <c r="BV281" s="482"/>
      <c r="BW281" s="482"/>
      <c r="BX281" s="482"/>
      <c r="BY281" s="482"/>
      <c r="BZ281" s="482"/>
      <c r="CA281" s="482"/>
      <c r="CB281" s="482"/>
      <c r="CC281" s="482"/>
      <c r="CD281" s="482"/>
      <c r="CE281" s="482"/>
      <c r="CF281" s="482"/>
      <c r="CG281" s="482"/>
      <c r="CH281" s="484"/>
    </row>
    <row r="282" spans="1:90" s="461" customFormat="1" ht="12" customHeight="1" x14ac:dyDescent="0.15">
      <c r="A282" s="522" t="s">
        <v>3328</v>
      </c>
      <c r="B282" s="467">
        <v>42462</v>
      </c>
      <c r="C282" s="468" t="s">
        <v>3329</v>
      </c>
      <c r="D282" s="468" t="s">
        <v>3598</v>
      </c>
      <c r="E282" s="468" t="s">
        <v>3698</v>
      </c>
      <c r="F282" s="468" t="s">
        <v>3686</v>
      </c>
      <c r="G282" s="466">
        <v>5</v>
      </c>
      <c r="H282" s="465">
        <v>5.5</v>
      </c>
      <c r="I282" s="466"/>
      <c r="J282" s="466" t="s">
        <v>960</v>
      </c>
      <c r="K282" s="466">
        <v>8</v>
      </c>
      <c r="L282" s="525">
        <v>4</v>
      </c>
      <c r="M282" s="463">
        <v>6914</v>
      </c>
      <c r="N282" s="468" t="s">
        <v>3225</v>
      </c>
      <c r="O282" s="466">
        <v>6</v>
      </c>
      <c r="P282" s="523">
        <v>-9</v>
      </c>
      <c r="Q282" s="462">
        <v>7.5636574074074072E-4</v>
      </c>
      <c r="R282" s="463">
        <v>99</v>
      </c>
      <c r="S282" s="466" t="s">
        <v>625</v>
      </c>
      <c r="T282" s="524"/>
      <c r="W282" s="460"/>
      <c r="AY282" s="486">
        <f>IF(S282="","",R282)</f>
        <v>99</v>
      </c>
      <c r="AZ282" s="487" t="str">
        <f t="shared" si="14"/>
        <v/>
      </c>
      <c r="CH282" s="459"/>
    </row>
    <row r="283" spans="1:90" s="461" customFormat="1" ht="12" customHeight="1" x14ac:dyDescent="0.15">
      <c r="A283" s="522" t="s">
        <v>3064</v>
      </c>
      <c r="B283" s="467">
        <v>42462</v>
      </c>
      <c r="C283" s="468" t="s">
        <v>2511</v>
      </c>
      <c r="D283" s="468" t="s">
        <v>3877</v>
      </c>
      <c r="E283" s="468" t="s">
        <v>4337</v>
      </c>
      <c r="F283" s="468" t="s">
        <v>788</v>
      </c>
      <c r="G283" s="466">
        <v>7</v>
      </c>
      <c r="H283" s="465">
        <v>8</v>
      </c>
      <c r="I283" s="466"/>
      <c r="J283" s="466"/>
      <c r="K283" s="466">
        <v>8</v>
      </c>
      <c r="L283" s="525">
        <v>20</v>
      </c>
      <c r="M283" s="463">
        <v>40000</v>
      </c>
      <c r="N283" s="468" t="s">
        <v>3879</v>
      </c>
      <c r="O283" s="466">
        <v>7</v>
      </c>
      <c r="P283" s="523">
        <v>-24.75</v>
      </c>
      <c r="Q283" s="462">
        <v>1.1526620370370369E-3</v>
      </c>
      <c r="R283" s="463">
        <v>0</v>
      </c>
      <c r="S283" s="466"/>
      <c r="T283" s="524"/>
      <c r="W283" s="460"/>
      <c r="AY283" s="486"/>
      <c r="AZ283" s="487" t="str">
        <f t="shared" si="14"/>
        <v/>
      </c>
      <c r="CH283" s="459"/>
    </row>
    <row r="284" spans="1:90" s="461" customFormat="1" ht="12" customHeight="1" x14ac:dyDescent="0.15">
      <c r="A284" s="522" t="s">
        <v>3937</v>
      </c>
      <c r="B284" s="467">
        <v>42462</v>
      </c>
      <c r="C284" s="468" t="s">
        <v>3939</v>
      </c>
      <c r="D284" s="468" t="s">
        <v>3938</v>
      </c>
      <c r="E284" s="468" t="s">
        <v>3957</v>
      </c>
      <c r="F284" s="468" t="s">
        <v>3686</v>
      </c>
      <c r="G284" s="466">
        <v>7</v>
      </c>
      <c r="H284" s="465">
        <v>6.5</v>
      </c>
      <c r="I284" s="466"/>
      <c r="J284" s="466" t="s">
        <v>960</v>
      </c>
      <c r="K284" s="466">
        <v>9</v>
      </c>
      <c r="L284" s="525">
        <f>7/2</f>
        <v>3.5</v>
      </c>
      <c r="M284" s="463">
        <v>17134</v>
      </c>
      <c r="N284" s="468" t="s">
        <v>4457</v>
      </c>
      <c r="O284" s="466">
        <v>2</v>
      </c>
      <c r="P284" s="523">
        <v>-1</v>
      </c>
      <c r="Q284" s="462">
        <v>9.1539351851851851E-4</v>
      </c>
      <c r="R284" s="463">
        <v>3641</v>
      </c>
      <c r="S284" s="466" t="s">
        <v>625</v>
      </c>
      <c r="T284" s="524"/>
      <c r="W284" s="460"/>
      <c r="AY284" s="486">
        <f t="shared" ref="AY284:AY289" si="15">IF(S284="","",R284)</f>
        <v>3641</v>
      </c>
      <c r="AZ284" s="487" t="str">
        <f t="shared" si="14"/>
        <v/>
      </c>
      <c r="CH284" s="459"/>
    </row>
    <row r="285" spans="1:90" s="461" customFormat="1" ht="12" customHeight="1" x14ac:dyDescent="0.15">
      <c r="A285" s="522" t="s">
        <v>4062</v>
      </c>
      <c r="B285" s="467">
        <v>42462</v>
      </c>
      <c r="C285" s="468" t="s">
        <v>2744</v>
      </c>
      <c r="D285" s="468" t="s">
        <v>3298</v>
      </c>
      <c r="E285" s="468" t="s">
        <v>3699</v>
      </c>
      <c r="F285" s="468" t="s">
        <v>3686</v>
      </c>
      <c r="G285" s="466">
        <v>13</v>
      </c>
      <c r="H285" s="465">
        <v>5.5</v>
      </c>
      <c r="I285" s="466"/>
      <c r="J285" s="466" t="s">
        <v>960</v>
      </c>
      <c r="K285" s="466">
        <v>14</v>
      </c>
      <c r="L285" s="525">
        <v>4</v>
      </c>
      <c r="M285" s="463">
        <v>5618</v>
      </c>
      <c r="N285" s="468" t="s">
        <v>3653</v>
      </c>
      <c r="O285" s="466">
        <v>10</v>
      </c>
      <c r="P285" s="523">
        <v>-8</v>
      </c>
      <c r="Q285" s="462">
        <v>7.6770833333333335E-4</v>
      </c>
      <c r="R285" s="463">
        <v>99</v>
      </c>
      <c r="S285" s="466" t="s">
        <v>625</v>
      </c>
      <c r="T285" s="524" t="s">
        <v>3755</v>
      </c>
      <c r="W285" s="460"/>
      <c r="AY285" s="486">
        <f t="shared" si="15"/>
        <v>99</v>
      </c>
      <c r="AZ285" s="487" t="str">
        <f t="shared" si="14"/>
        <v/>
      </c>
      <c r="CH285" s="459"/>
    </row>
    <row r="286" spans="1:90" s="461" customFormat="1" ht="12" customHeight="1" x14ac:dyDescent="0.15">
      <c r="A286" s="522" t="s">
        <v>4430</v>
      </c>
      <c r="B286" s="467">
        <v>42462</v>
      </c>
      <c r="C286" s="468" t="s">
        <v>4431</v>
      </c>
      <c r="D286" s="468" t="s">
        <v>4016</v>
      </c>
      <c r="E286" s="468" t="s">
        <v>3684</v>
      </c>
      <c r="F286" s="468" t="s">
        <v>3686</v>
      </c>
      <c r="G286" s="466">
        <v>14</v>
      </c>
      <c r="H286" s="465">
        <v>7</v>
      </c>
      <c r="I286" s="466"/>
      <c r="J286" s="466" t="s">
        <v>960</v>
      </c>
      <c r="K286" s="466">
        <v>14</v>
      </c>
      <c r="L286" s="525">
        <v>3</v>
      </c>
      <c r="M286" s="463">
        <v>6955</v>
      </c>
      <c r="N286" s="468" t="s">
        <v>3225</v>
      </c>
      <c r="O286" s="466">
        <v>2</v>
      </c>
      <c r="P286" s="523">
        <v>-0.75</v>
      </c>
      <c r="Q286" s="462">
        <v>9.9409722222222217E-4</v>
      </c>
      <c r="R286" s="463">
        <v>1478</v>
      </c>
      <c r="S286" s="466" t="s">
        <v>625</v>
      </c>
      <c r="T286" s="524" t="s">
        <v>3714</v>
      </c>
      <c r="W286" s="460"/>
      <c r="AY286" s="486">
        <f t="shared" si="15"/>
        <v>1478</v>
      </c>
      <c r="AZ286" s="487" t="str">
        <f t="shared" si="14"/>
        <v/>
      </c>
      <c r="CH286" s="459"/>
    </row>
    <row r="287" spans="1:90" s="461" customFormat="1" ht="12" customHeight="1" x14ac:dyDescent="0.15">
      <c r="A287" s="522" t="s">
        <v>4206</v>
      </c>
      <c r="B287" s="467">
        <v>42463</v>
      </c>
      <c r="C287" s="468" t="s">
        <v>3951</v>
      </c>
      <c r="D287" s="468" t="s">
        <v>4207</v>
      </c>
      <c r="E287" s="468" t="s">
        <v>4437</v>
      </c>
      <c r="F287" s="468" t="s">
        <v>4070</v>
      </c>
      <c r="G287" s="466">
        <v>3</v>
      </c>
      <c r="H287" s="465">
        <v>3.5</v>
      </c>
      <c r="I287" s="466"/>
      <c r="J287" s="466"/>
      <c r="K287" s="466">
        <v>8</v>
      </c>
      <c r="L287" s="464" t="s">
        <v>431</v>
      </c>
      <c r="M287" s="463">
        <v>1215</v>
      </c>
      <c r="N287" s="468" t="s">
        <v>4007</v>
      </c>
      <c r="O287" s="466">
        <v>2</v>
      </c>
      <c r="P287" s="523">
        <v>-2.75</v>
      </c>
      <c r="Q287" s="462">
        <v>4.8819444444444436E-4</v>
      </c>
      <c r="R287" s="463">
        <v>246</v>
      </c>
      <c r="S287" s="466" t="s">
        <v>625</v>
      </c>
      <c r="T287" s="524"/>
      <c r="W287" s="460"/>
      <c r="AY287" s="486">
        <f t="shared" si="15"/>
        <v>246</v>
      </c>
      <c r="AZ287" s="487" t="str">
        <f t="shared" si="14"/>
        <v/>
      </c>
      <c r="CH287" s="459"/>
    </row>
    <row r="288" spans="1:90" s="469" customFormat="1" ht="12" customHeight="1" x14ac:dyDescent="0.15">
      <c r="A288" s="471" t="s">
        <v>4456</v>
      </c>
      <c r="B288" s="472">
        <v>42463</v>
      </c>
      <c r="C288" s="471" t="s">
        <v>4429</v>
      </c>
      <c r="D288" s="471" t="s">
        <v>4020</v>
      </c>
      <c r="E288" s="471" t="s">
        <v>3188</v>
      </c>
      <c r="F288" s="471" t="s">
        <v>3685</v>
      </c>
      <c r="G288" s="473">
        <v>5</v>
      </c>
      <c r="H288" s="474">
        <v>6.5</v>
      </c>
      <c r="I288" s="475"/>
      <c r="J288" s="475"/>
      <c r="K288" s="473">
        <v>10</v>
      </c>
      <c r="L288" s="485" t="s">
        <v>431</v>
      </c>
      <c r="M288" s="476">
        <v>4667</v>
      </c>
      <c r="N288" s="471" t="s">
        <v>4006</v>
      </c>
      <c r="O288" s="477" t="s">
        <v>431</v>
      </c>
      <c r="P288" s="478" t="s">
        <v>431</v>
      </c>
      <c r="Q288" s="479" t="s">
        <v>431</v>
      </c>
      <c r="R288" s="480" t="s">
        <v>431</v>
      </c>
      <c r="S288" s="477" t="s">
        <v>625</v>
      </c>
      <c r="T288" s="481" t="s">
        <v>4448</v>
      </c>
      <c r="U288" s="482"/>
      <c r="V288" s="482"/>
      <c r="W288" s="483"/>
      <c r="X288" s="482"/>
      <c r="Y288" s="482"/>
      <c r="Z288" s="482"/>
      <c r="AA288" s="482"/>
      <c r="AB288" s="482"/>
      <c r="AC288" s="482"/>
      <c r="AD288" s="482"/>
      <c r="AE288" s="482"/>
      <c r="AF288" s="482"/>
      <c r="AG288" s="482"/>
      <c r="AH288" s="482"/>
      <c r="AI288" s="482"/>
      <c r="AJ288" s="482"/>
      <c r="AK288" s="482"/>
      <c r="AL288" s="482"/>
      <c r="AM288" s="482"/>
      <c r="AN288" s="482"/>
      <c r="AO288" s="482"/>
      <c r="AP288" s="482"/>
      <c r="AQ288" s="482"/>
      <c r="AR288" s="482"/>
      <c r="AS288" s="482"/>
      <c r="AT288" s="482"/>
      <c r="AU288" s="482"/>
      <c r="AV288" s="482"/>
      <c r="AW288" s="482"/>
      <c r="AX288" s="482"/>
      <c r="AY288" s="486" t="str">
        <f t="shared" si="15"/>
        <v>--</v>
      </c>
      <c r="AZ288" s="487" t="str">
        <f t="shared" si="14"/>
        <v/>
      </c>
      <c r="BA288" s="482"/>
      <c r="BB288" s="482"/>
      <c r="BC288" s="482"/>
      <c r="BD288" s="482"/>
      <c r="BE288" s="482"/>
      <c r="BF288" s="482"/>
      <c r="BG288" s="482"/>
      <c r="BH288" s="482"/>
      <c r="BI288" s="482"/>
      <c r="BJ288" s="482"/>
      <c r="BK288" s="482"/>
      <c r="BL288" s="482"/>
      <c r="BM288" s="482"/>
      <c r="BN288" s="482"/>
      <c r="BO288" s="482"/>
      <c r="BP288" s="482"/>
      <c r="BQ288" s="482"/>
      <c r="BR288" s="482"/>
      <c r="BS288" s="482"/>
      <c r="BT288" s="482"/>
      <c r="BU288" s="482"/>
      <c r="BV288" s="482"/>
      <c r="BW288" s="482"/>
      <c r="BX288" s="482"/>
      <c r="BY288" s="482"/>
      <c r="BZ288" s="482"/>
      <c r="CA288" s="482"/>
      <c r="CB288" s="482"/>
      <c r="CC288" s="482"/>
      <c r="CD288" s="482"/>
      <c r="CE288" s="482"/>
      <c r="CF288" s="482"/>
      <c r="CG288" s="482"/>
      <c r="CH288" s="484"/>
    </row>
    <row r="289" spans="1:90" s="461" customFormat="1" ht="12" customHeight="1" x14ac:dyDescent="0.15">
      <c r="A289" s="522" t="s">
        <v>4066</v>
      </c>
      <c r="B289" s="467">
        <v>42463</v>
      </c>
      <c r="C289" s="468" t="s">
        <v>4210</v>
      </c>
      <c r="D289" s="468" t="s">
        <v>4068</v>
      </c>
      <c r="E289" s="468" t="s">
        <v>4069</v>
      </c>
      <c r="F289" s="468" t="s">
        <v>4070</v>
      </c>
      <c r="G289" s="466">
        <v>6</v>
      </c>
      <c r="H289" s="465">
        <v>6</v>
      </c>
      <c r="I289" s="466"/>
      <c r="J289" s="466"/>
      <c r="K289" s="466">
        <v>10</v>
      </c>
      <c r="L289" s="464" t="s">
        <v>431</v>
      </c>
      <c r="M289" s="463">
        <v>1215</v>
      </c>
      <c r="N289" s="468" t="s">
        <v>4007</v>
      </c>
      <c r="O289" s="466">
        <v>4</v>
      </c>
      <c r="P289" s="523">
        <v>-9</v>
      </c>
      <c r="Q289" s="462">
        <v>8.7083333333333327E-4</v>
      </c>
      <c r="R289" s="463">
        <v>30</v>
      </c>
      <c r="S289" s="466" t="s">
        <v>625</v>
      </c>
      <c r="T289" s="524"/>
      <c r="W289" s="460"/>
      <c r="AY289" s="486">
        <f t="shared" si="15"/>
        <v>30</v>
      </c>
      <c r="AZ289" s="487" t="str">
        <f t="shared" si="14"/>
        <v/>
      </c>
      <c r="CH289" s="459"/>
    </row>
    <row r="290" spans="1:90" s="461" customFormat="1" ht="12" customHeight="1" x14ac:dyDescent="0.15">
      <c r="A290" s="522" t="s">
        <v>1557</v>
      </c>
      <c r="B290" s="467">
        <v>42463</v>
      </c>
      <c r="C290" s="468" t="s">
        <v>4250</v>
      </c>
      <c r="D290" s="468" t="s">
        <v>4247</v>
      </c>
      <c r="E290" s="468" t="s">
        <v>4248</v>
      </c>
      <c r="F290" s="468" t="s">
        <v>3262</v>
      </c>
      <c r="G290" s="466">
        <v>8</v>
      </c>
      <c r="H290" s="465">
        <v>6.5</v>
      </c>
      <c r="I290" s="466"/>
      <c r="J290" s="466"/>
      <c r="K290" s="466">
        <v>9</v>
      </c>
      <c r="L290" s="525">
        <v>3</v>
      </c>
      <c r="M290" s="463">
        <v>8500</v>
      </c>
      <c r="N290" s="468" t="s">
        <v>4449</v>
      </c>
      <c r="O290" s="466">
        <v>2</v>
      </c>
      <c r="P290" s="523">
        <v>-1.75</v>
      </c>
      <c r="Q290" s="462">
        <v>9.1203703703703716E-4</v>
      </c>
      <c r="R290" s="463">
        <v>1700</v>
      </c>
      <c r="S290" s="466"/>
      <c r="T290" s="524" t="s">
        <v>3755</v>
      </c>
      <c r="W290" s="460"/>
      <c r="AY290" s="486"/>
      <c r="AZ290" s="487"/>
      <c r="CH290" s="459"/>
    </row>
    <row r="291" spans="1:90" s="469" customFormat="1" ht="12" customHeight="1" x14ac:dyDescent="0.15">
      <c r="A291" s="444" t="s">
        <v>2172</v>
      </c>
      <c r="B291" s="445">
        <v>42463</v>
      </c>
      <c r="C291" s="446" t="s">
        <v>3707</v>
      </c>
      <c r="D291" s="446" t="s">
        <v>3708</v>
      </c>
      <c r="E291" s="446" t="s">
        <v>4426</v>
      </c>
      <c r="F291" s="446" t="s">
        <v>4077</v>
      </c>
      <c r="G291" s="447">
        <v>7</v>
      </c>
      <c r="H291" s="448">
        <v>5.5</v>
      </c>
      <c r="I291" s="447"/>
      <c r="J291" s="447"/>
      <c r="K291" s="447">
        <v>8</v>
      </c>
      <c r="L291" s="449">
        <f>6/5</f>
        <v>1.2</v>
      </c>
      <c r="M291" s="450">
        <v>5000</v>
      </c>
      <c r="N291" s="446" t="s">
        <v>3739</v>
      </c>
      <c r="O291" s="447">
        <v>1</v>
      </c>
      <c r="P291" s="451">
        <v>2.5</v>
      </c>
      <c r="Q291" s="452">
        <v>7.8946759259259259E-4</v>
      </c>
      <c r="R291" s="450">
        <v>3000</v>
      </c>
      <c r="S291" s="447" t="s">
        <v>625</v>
      </c>
      <c r="T291" s="453" t="s">
        <v>3714</v>
      </c>
      <c r="U291" s="454"/>
      <c r="V291" s="454"/>
      <c r="W291" s="455"/>
      <c r="X291" s="454"/>
      <c r="Y291" s="454"/>
      <c r="Z291" s="454"/>
      <c r="AA291" s="454"/>
      <c r="AB291" s="454"/>
      <c r="AC291" s="454"/>
      <c r="AD291" s="454"/>
      <c r="AE291" s="454"/>
      <c r="AF291" s="454"/>
      <c r="AG291" s="454"/>
      <c r="AH291" s="454"/>
      <c r="AI291" s="454"/>
      <c r="AJ291" s="454"/>
      <c r="AK291" s="454"/>
      <c r="AL291" s="454"/>
      <c r="AM291" s="454"/>
      <c r="AN291" s="454"/>
      <c r="AO291" s="454"/>
      <c r="AP291" s="454"/>
      <c r="AQ291" s="454"/>
      <c r="AR291" s="454"/>
      <c r="AS291" s="454"/>
      <c r="AT291" s="454"/>
      <c r="AU291" s="454"/>
      <c r="AV291" s="454"/>
      <c r="AW291" s="454"/>
      <c r="AX291" s="454"/>
      <c r="AY291" s="486">
        <f>IF(S291="","",R291)</f>
        <v>3000</v>
      </c>
      <c r="AZ291" s="487">
        <f t="shared" ref="AZ291:AZ322" si="16">IF(F291="Pleasant Meadows","",IF(L291="","",IF(O291="--","",IF(O291=1,1,""))))</f>
        <v>1</v>
      </c>
      <c r="BA291" s="454"/>
      <c r="BB291" s="454"/>
      <c r="BC291" s="454"/>
      <c r="BD291" s="454"/>
      <c r="BE291" s="454"/>
      <c r="BF291" s="454"/>
      <c r="BG291" s="454"/>
      <c r="BH291" s="454"/>
      <c r="BI291" s="454"/>
      <c r="BJ291" s="454"/>
      <c r="BK291" s="454"/>
      <c r="BL291" s="454"/>
      <c r="BM291" s="454"/>
      <c r="BN291" s="454"/>
      <c r="BO291" s="454"/>
      <c r="BP291" s="454"/>
      <c r="BQ291" s="454"/>
      <c r="BR291" s="454"/>
      <c r="BS291" s="454"/>
      <c r="BT291" s="454"/>
      <c r="BU291" s="454"/>
      <c r="BV291" s="454"/>
      <c r="BW291" s="454"/>
      <c r="BX291" s="454"/>
      <c r="BY291" s="454"/>
      <c r="BZ291" s="454"/>
      <c r="CA291" s="454"/>
      <c r="CB291" s="454"/>
      <c r="CC291" s="454"/>
      <c r="CD291" s="454"/>
      <c r="CE291" s="454"/>
      <c r="CF291" s="454"/>
      <c r="CG291" s="454"/>
      <c r="CH291" s="456"/>
      <c r="CI291" s="454"/>
      <c r="CJ291" s="454"/>
      <c r="CK291" s="454"/>
      <c r="CL291" s="454"/>
    </row>
    <row r="292" spans="1:90" s="469" customFormat="1" ht="12" customHeight="1" x14ac:dyDescent="0.15">
      <c r="A292" s="444" t="s">
        <v>3182</v>
      </c>
      <c r="B292" s="445">
        <v>42464</v>
      </c>
      <c r="C292" s="446" t="s">
        <v>2013</v>
      </c>
      <c r="D292" s="446" t="s">
        <v>3705</v>
      </c>
      <c r="E292" s="446" t="s">
        <v>3786</v>
      </c>
      <c r="F292" s="446" t="s">
        <v>4171</v>
      </c>
      <c r="G292" s="447">
        <v>7</v>
      </c>
      <c r="H292" s="448">
        <v>6</v>
      </c>
      <c r="I292" s="447"/>
      <c r="J292" s="447"/>
      <c r="K292" s="447">
        <v>7</v>
      </c>
      <c r="L292" s="449">
        <f>7/2</f>
        <v>3.5</v>
      </c>
      <c r="M292" s="450">
        <v>37000</v>
      </c>
      <c r="N292" s="446" t="s">
        <v>3718</v>
      </c>
      <c r="O292" s="447">
        <v>1</v>
      </c>
      <c r="P292" s="451">
        <v>1</v>
      </c>
      <c r="Q292" s="452">
        <v>8.3703703703703707E-4</v>
      </c>
      <c r="R292" s="450">
        <v>22200</v>
      </c>
      <c r="S292" s="447"/>
      <c r="T292" s="453" t="s">
        <v>3755</v>
      </c>
      <c r="U292" s="454"/>
      <c r="V292" s="454"/>
      <c r="W292" s="455"/>
      <c r="X292" s="454"/>
      <c r="Y292" s="454"/>
      <c r="Z292" s="454"/>
      <c r="AA292" s="454"/>
      <c r="AB292" s="454"/>
      <c r="AC292" s="454"/>
      <c r="AD292" s="454"/>
      <c r="AE292" s="454"/>
      <c r="AF292" s="454"/>
      <c r="AG292" s="454"/>
      <c r="AH292" s="454"/>
      <c r="AI292" s="454"/>
      <c r="AJ292" s="454"/>
      <c r="AK292" s="454"/>
      <c r="AL292" s="454"/>
      <c r="AM292" s="454"/>
      <c r="AN292" s="454"/>
      <c r="AO292" s="454"/>
      <c r="AP292" s="454"/>
      <c r="AQ292" s="454"/>
      <c r="AR292" s="454"/>
      <c r="AS292" s="454"/>
      <c r="AT292" s="454"/>
      <c r="AU292" s="454"/>
      <c r="AV292" s="454"/>
      <c r="AW292" s="454"/>
      <c r="AX292" s="454"/>
      <c r="AY292" s="486" t="str">
        <f>IF(S292="","",R292)</f>
        <v/>
      </c>
      <c r="AZ292" s="487">
        <f t="shared" si="16"/>
        <v>1</v>
      </c>
      <c r="BA292" s="454"/>
      <c r="BB292" s="454"/>
      <c r="BC292" s="454"/>
      <c r="BD292" s="454"/>
      <c r="BE292" s="454"/>
      <c r="BF292" s="454"/>
      <c r="BG292" s="454"/>
      <c r="BH292" s="454"/>
      <c r="BI292" s="454"/>
      <c r="BJ292" s="454"/>
      <c r="BK292" s="454"/>
      <c r="BL292" s="454"/>
      <c r="BM292" s="454"/>
      <c r="BN292" s="454"/>
      <c r="BO292" s="454"/>
      <c r="BP292" s="454"/>
      <c r="BQ292" s="454"/>
      <c r="BR292" s="454"/>
      <c r="BS292" s="454"/>
      <c r="BT292" s="454"/>
      <c r="BU292" s="454"/>
      <c r="BV292" s="454"/>
      <c r="BW292" s="454"/>
      <c r="BX292" s="454"/>
      <c r="BY292" s="454"/>
      <c r="BZ292" s="454"/>
      <c r="CA292" s="454"/>
      <c r="CB292" s="454"/>
      <c r="CC292" s="454"/>
      <c r="CD292" s="454"/>
      <c r="CE292" s="454"/>
      <c r="CF292" s="454"/>
      <c r="CG292" s="454"/>
      <c r="CH292" s="456"/>
      <c r="CI292" s="454"/>
      <c r="CJ292" s="454"/>
      <c r="CK292" s="454"/>
      <c r="CL292" s="454"/>
    </row>
    <row r="293" spans="1:90" s="461" customFormat="1" ht="12" customHeight="1" x14ac:dyDescent="0.15">
      <c r="A293" s="522" t="s">
        <v>3266</v>
      </c>
      <c r="B293" s="467">
        <v>42464</v>
      </c>
      <c r="C293" s="468" t="s">
        <v>4333</v>
      </c>
      <c r="D293" s="468" t="s">
        <v>3705</v>
      </c>
      <c r="E293" s="468" t="s">
        <v>3856</v>
      </c>
      <c r="F293" s="468" t="s">
        <v>4171</v>
      </c>
      <c r="G293" s="466">
        <v>9</v>
      </c>
      <c r="H293" s="465">
        <v>6</v>
      </c>
      <c r="I293" s="466"/>
      <c r="J293" s="466"/>
      <c r="K293" s="466">
        <v>11</v>
      </c>
      <c r="L293" s="525">
        <f>5/2</f>
        <v>2.5</v>
      </c>
      <c r="M293" s="463">
        <v>37000</v>
      </c>
      <c r="N293" s="468" t="s">
        <v>3718</v>
      </c>
      <c r="O293" s="466">
        <v>5</v>
      </c>
      <c r="P293" s="523">
        <v>1.25</v>
      </c>
      <c r="Q293" s="462">
        <v>8.2488425925925926E-4</v>
      </c>
      <c r="R293" s="463">
        <v>0</v>
      </c>
      <c r="S293" s="466"/>
      <c r="T293" s="524" t="s">
        <v>4861</v>
      </c>
      <c r="W293" s="460"/>
      <c r="AY293" s="486"/>
      <c r="AZ293" s="228" t="str">
        <f t="shared" si="16"/>
        <v/>
      </c>
      <c r="CH293" s="459"/>
    </row>
    <row r="294" spans="1:90" s="469" customFormat="1" ht="12" customHeight="1" x14ac:dyDescent="0.15">
      <c r="A294" s="444" t="s">
        <v>3694</v>
      </c>
      <c r="B294" s="445">
        <v>42466</v>
      </c>
      <c r="C294" s="446" t="s">
        <v>3719</v>
      </c>
      <c r="D294" s="446" t="s">
        <v>3721</v>
      </c>
      <c r="E294" s="446" t="s">
        <v>4450</v>
      </c>
      <c r="F294" s="446" t="s">
        <v>993</v>
      </c>
      <c r="G294" s="447">
        <v>5</v>
      </c>
      <c r="H294" s="448">
        <v>4.5</v>
      </c>
      <c r="I294" s="447"/>
      <c r="J294" s="447"/>
      <c r="K294" s="447">
        <v>10</v>
      </c>
      <c r="L294" s="449">
        <v>2</v>
      </c>
      <c r="M294" s="450">
        <v>23000</v>
      </c>
      <c r="N294" s="446" t="s">
        <v>3718</v>
      </c>
      <c r="O294" s="447">
        <v>1</v>
      </c>
      <c r="P294" s="451">
        <v>1.25</v>
      </c>
      <c r="Q294" s="452">
        <v>6.1678240740740736E-4</v>
      </c>
      <c r="R294" s="450">
        <v>13560</v>
      </c>
      <c r="S294" s="447"/>
      <c r="T294" s="453" t="s">
        <v>3714</v>
      </c>
      <c r="U294" s="454"/>
      <c r="V294" s="454"/>
      <c r="W294" s="455"/>
      <c r="X294" s="454"/>
      <c r="Y294" s="454"/>
      <c r="Z294" s="454"/>
      <c r="AA294" s="454"/>
      <c r="AB294" s="454"/>
      <c r="AC294" s="454"/>
      <c r="AD294" s="454"/>
      <c r="AE294" s="454"/>
      <c r="AF294" s="454"/>
      <c r="AG294" s="454"/>
      <c r="AH294" s="454"/>
      <c r="AI294" s="454"/>
      <c r="AJ294" s="454"/>
      <c r="AK294" s="454"/>
      <c r="AL294" s="454"/>
      <c r="AM294" s="454"/>
      <c r="AN294" s="454"/>
      <c r="AO294" s="454"/>
      <c r="AP294" s="454"/>
      <c r="AQ294" s="454"/>
      <c r="AR294" s="454"/>
      <c r="AS294" s="454"/>
      <c r="AT294" s="454"/>
      <c r="AU294" s="454"/>
      <c r="AV294" s="454"/>
      <c r="AW294" s="454"/>
      <c r="AX294" s="454"/>
      <c r="AY294" s="486" t="str">
        <f t="shared" ref="AY294:AY325" si="17">IF(S294="","",R294)</f>
        <v/>
      </c>
      <c r="AZ294" s="487">
        <f t="shared" si="16"/>
        <v>1</v>
      </c>
      <c r="BA294" s="454"/>
      <c r="BB294" s="454"/>
      <c r="BC294" s="454"/>
      <c r="BD294" s="454"/>
      <c r="BE294" s="454"/>
      <c r="BF294" s="454"/>
      <c r="BG294" s="454"/>
      <c r="BH294" s="454"/>
      <c r="BI294" s="454"/>
      <c r="BJ294" s="454"/>
      <c r="BK294" s="454"/>
      <c r="BL294" s="454"/>
      <c r="BM294" s="454"/>
      <c r="BN294" s="454"/>
      <c r="BO294" s="454"/>
      <c r="BP294" s="454"/>
      <c r="BQ294" s="454"/>
      <c r="BR294" s="454"/>
      <c r="BS294" s="454"/>
      <c r="BT294" s="454"/>
      <c r="BU294" s="454"/>
      <c r="BV294" s="454"/>
      <c r="BW294" s="454"/>
      <c r="BX294" s="454"/>
      <c r="BY294" s="454"/>
      <c r="BZ294" s="454"/>
      <c r="CA294" s="454"/>
      <c r="CB294" s="454"/>
      <c r="CC294" s="454"/>
      <c r="CD294" s="454"/>
      <c r="CE294" s="454"/>
      <c r="CF294" s="454"/>
      <c r="CG294" s="454"/>
      <c r="CH294" s="456"/>
      <c r="CI294" s="454"/>
      <c r="CJ294" s="454"/>
      <c r="CK294" s="454"/>
      <c r="CL294" s="454"/>
    </row>
    <row r="295" spans="1:90" s="461" customFormat="1" ht="12" customHeight="1" x14ac:dyDescent="0.15">
      <c r="A295" s="522" t="s">
        <v>122</v>
      </c>
      <c r="B295" s="467">
        <v>42467</v>
      </c>
      <c r="C295" s="468" t="s">
        <v>4346</v>
      </c>
      <c r="D295" s="468" t="s">
        <v>4347</v>
      </c>
      <c r="E295" s="468" t="s">
        <v>4453</v>
      </c>
      <c r="F295" s="468" t="s">
        <v>4454</v>
      </c>
      <c r="G295" s="466">
        <v>3</v>
      </c>
      <c r="H295" s="465">
        <v>8.5</v>
      </c>
      <c r="I295" s="466"/>
      <c r="J295" s="466"/>
      <c r="K295" s="466">
        <v>6</v>
      </c>
      <c r="L295" s="525">
        <v>3</v>
      </c>
      <c r="M295" s="463">
        <v>21000</v>
      </c>
      <c r="N295" s="468" t="s">
        <v>4455</v>
      </c>
      <c r="O295" s="466">
        <v>3</v>
      </c>
      <c r="P295" s="523">
        <v>-3</v>
      </c>
      <c r="Q295" s="462">
        <v>1.1997685185185184E-3</v>
      </c>
      <c r="R295" s="463">
        <v>2310</v>
      </c>
      <c r="S295" s="466"/>
      <c r="T295" s="524" t="s">
        <v>3755</v>
      </c>
      <c r="W295" s="460"/>
      <c r="AY295" s="486" t="str">
        <f t="shared" si="17"/>
        <v/>
      </c>
      <c r="AZ295" s="487" t="str">
        <f t="shared" si="16"/>
        <v/>
      </c>
      <c r="CH295" s="459"/>
    </row>
    <row r="296" spans="1:90" s="461" customFormat="1" ht="12" customHeight="1" x14ac:dyDescent="0.15">
      <c r="A296" s="522" t="s">
        <v>57</v>
      </c>
      <c r="B296" s="467">
        <v>42468</v>
      </c>
      <c r="C296" s="468" t="s">
        <v>4472</v>
      </c>
      <c r="D296" s="468" t="s">
        <v>4300</v>
      </c>
      <c r="E296" s="468" t="s">
        <v>3189</v>
      </c>
      <c r="F296" s="468" t="s">
        <v>788</v>
      </c>
      <c r="G296" s="466">
        <v>5</v>
      </c>
      <c r="H296" s="465">
        <v>5.5</v>
      </c>
      <c r="I296" s="466"/>
      <c r="J296" s="466"/>
      <c r="K296" s="466">
        <v>11</v>
      </c>
      <c r="L296" s="525">
        <f>7/2</f>
        <v>3.5</v>
      </c>
      <c r="M296" s="463">
        <v>25000</v>
      </c>
      <c r="N296" s="468" t="s">
        <v>4471</v>
      </c>
      <c r="O296" s="466">
        <v>3</v>
      </c>
      <c r="P296" s="523">
        <v>-4</v>
      </c>
      <c r="Q296" s="462">
        <v>7.2673611111111116E-4</v>
      </c>
      <c r="R296" s="463">
        <v>2750</v>
      </c>
      <c r="S296" s="466"/>
      <c r="T296" s="524"/>
      <c r="W296" s="460"/>
      <c r="AY296" s="486" t="str">
        <f t="shared" si="17"/>
        <v/>
      </c>
      <c r="AZ296" s="487" t="str">
        <f t="shared" si="16"/>
        <v/>
      </c>
      <c r="CH296" s="459"/>
    </row>
    <row r="297" spans="1:90" s="461" customFormat="1" ht="12" customHeight="1" x14ac:dyDescent="0.15">
      <c r="A297" s="522" t="s">
        <v>4175</v>
      </c>
      <c r="B297" s="467">
        <v>42468</v>
      </c>
      <c r="C297" s="468" t="s">
        <v>2605</v>
      </c>
      <c r="D297" s="468" t="s">
        <v>4177</v>
      </c>
      <c r="E297" s="468" t="s">
        <v>4534</v>
      </c>
      <c r="F297" s="468" t="s">
        <v>3686</v>
      </c>
      <c r="G297" s="466">
        <v>3</v>
      </c>
      <c r="H297" s="465">
        <v>10</v>
      </c>
      <c r="I297" s="466"/>
      <c r="J297" s="466" t="s">
        <v>4371</v>
      </c>
      <c r="K297" s="466">
        <v>8</v>
      </c>
      <c r="L297" s="464" t="s">
        <v>431</v>
      </c>
      <c r="M297" s="463">
        <v>7738</v>
      </c>
      <c r="N297" s="468" t="s">
        <v>3653</v>
      </c>
      <c r="O297" s="466">
        <v>6</v>
      </c>
      <c r="P297" s="523">
        <v>-16</v>
      </c>
      <c r="Q297" s="462">
        <v>1.4510416666666667E-3</v>
      </c>
      <c r="R297" s="463">
        <v>99</v>
      </c>
      <c r="S297" s="466" t="s">
        <v>625</v>
      </c>
      <c r="T297" s="524"/>
      <c r="W297" s="460"/>
      <c r="AY297" s="486">
        <f t="shared" si="17"/>
        <v>99</v>
      </c>
      <c r="AZ297" s="487" t="str">
        <f t="shared" si="16"/>
        <v/>
      </c>
      <c r="CH297" s="459"/>
    </row>
    <row r="298" spans="1:90" s="461" customFormat="1" ht="12" customHeight="1" x14ac:dyDescent="0.15">
      <c r="A298" s="522" t="s">
        <v>2127</v>
      </c>
      <c r="B298" s="467">
        <v>42468</v>
      </c>
      <c r="C298" s="468" t="s">
        <v>1838</v>
      </c>
      <c r="D298" s="468" t="s">
        <v>3842</v>
      </c>
      <c r="E298" s="468" t="s">
        <v>3843</v>
      </c>
      <c r="F298" s="468" t="s">
        <v>993</v>
      </c>
      <c r="G298" s="466">
        <v>6</v>
      </c>
      <c r="H298" s="465">
        <v>6.5</v>
      </c>
      <c r="I298" s="466"/>
      <c r="J298" s="466"/>
      <c r="K298" s="466">
        <v>8</v>
      </c>
      <c r="L298" s="525">
        <f>5/2</f>
        <v>2.5</v>
      </c>
      <c r="M298" s="463">
        <v>10000</v>
      </c>
      <c r="N298" s="468" t="s">
        <v>4078</v>
      </c>
      <c r="O298" s="466">
        <v>2</v>
      </c>
      <c r="P298" s="523">
        <v>-0.5</v>
      </c>
      <c r="Q298" s="462">
        <v>9.4826388888888879E-4</v>
      </c>
      <c r="R298" s="463">
        <v>1980</v>
      </c>
      <c r="S298" s="466"/>
      <c r="T298" s="524" t="s">
        <v>3755</v>
      </c>
      <c r="W298" s="460"/>
      <c r="AY298" s="486" t="str">
        <f t="shared" si="17"/>
        <v/>
      </c>
      <c r="AZ298" s="487" t="str">
        <f t="shared" si="16"/>
        <v/>
      </c>
      <c r="CH298" s="459"/>
    </row>
    <row r="299" spans="1:90" s="461" customFormat="1" ht="12" customHeight="1" x14ac:dyDescent="0.15">
      <c r="A299" s="522" t="s">
        <v>4301</v>
      </c>
      <c r="B299" s="467">
        <v>42469</v>
      </c>
      <c r="C299" s="468" t="s">
        <v>2744</v>
      </c>
      <c r="D299" s="468" t="s">
        <v>3832</v>
      </c>
      <c r="E299" s="468" t="s">
        <v>3846</v>
      </c>
      <c r="F299" s="468" t="s">
        <v>3686</v>
      </c>
      <c r="G299" s="466">
        <v>4</v>
      </c>
      <c r="H299" s="465">
        <v>5.5</v>
      </c>
      <c r="I299" s="466"/>
      <c r="J299" s="466"/>
      <c r="K299" s="466">
        <v>7</v>
      </c>
      <c r="L299" s="464" t="s">
        <v>431</v>
      </c>
      <c r="M299" s="463">
        <v>9000</v>
      </c>
      <c r="N299" s="468" t="s">
        <v>3955</v>
      </c>
      <c r="O299" s="466">
        <v>3</v>
      </c>
      <c r="P299" s="523">
        <v>-6.5</v>
      </c>
      <c r="Q299" s="462">
        <v>7.6990740740740741E-4</v>
      </c>
      <c r="R299" s="463">
        <v>1922</v>
      </c>
      <c r="S299" s="466" t="s">
        <v>625</v>
      </c>
      <c r="T299" s="524"/>
      <c r="W299" s="460"/>
      <c r="AY299" s="486">
        <f t="shared" si="17"/>
        <v>1922</v>
      </c>
      <c r="AZ299" s="487" t="str">
        <f t="shared" si="16"/>
        <v/>
      </c>
      <c r="CH299" s="459"/>
    </row>
    <row r="300" spans="1:90" s="461" customFormat="1" ht="12" customHeight="1" x14ac:dyDescent="0.15">
      <c r="A300" s="522" t="s">
        <v>3776</v>
      </c>
      <c r="B300" s="467">
        <v>42469</v>
      </c>
      <c r="C300" s="468" t="s">
        <v>3726</v>
      </c>
      <c r="D300" s="468" t="s">
        <v>3725</v>
      </c>
      <c r="E300" s="468" t="s">
        <v>3684</v>
      </c>
      <c r="F300" s="468" t="s">
        <v>3686</v>
      </c>
      <c r="G300" s="466">
        <v>7</v>
      </c>
      <c r="H300" s="465">
        <v>7</v>
      </c>
      <c r="I300" s="466"/>
      <c r="J300" s="466"/>
      <c r="K300" s="466">
        <v>12</v>
      </c>
      <c r="L300" s="464" t="s">
        <v>431</v>
      </c>
      <c r="M300" s="463">
        <v>7042</v>
      </c>
      <c r="N300" s="468" t="s">
        <v>3225</v>
      </c>
      <c r="O300" s="466">
        <v>7</v>
      </c>
      <c r="P300" s="523">
        <v>-5.75</v>
      </c>
      <c r="Q300" s="462">
        <v>9.8807870370370369E-4</v>
      </c>
      <c r="R300" s="463">
        <v>99</v>
      </c>
      <c r="S300" s="466" t="s">
        <v>625</v>
      </c>
      <c r="T300" s="524"/>
      <c r="W300" s="460"/>
      <c r="AY300" s="486">
        <f t="shared" si="17"/>
        <v>99</v>
      </c>
      <c r="AZ300" s="487" t="str">
        <f t="shared" si="16"/>
        <v/>
      </c>
      <c r="CH300" s="459"/>
    </row>
    <row r="301" spans="1:90" s="461" customFormat="1" ht="12" customHeight="1" x14ac:dyDescent="0.15">
      <c r="A301" s="522" t="s">
        <v>3903</v>
      </c>
      <c r="B301" s="467">
        <v>42469</v>
      </c>
      <c r="C301" s="468" t="s">
        <v>3904</v>
      </c>
      <c r="D301" s="468" t="s">
        <v>3905</v>
      </c>
      <c r="E301" s="468" t="s">
        <v>3700</v>
      </c>
      <c r="F301" s="468" t="s">
        <v>3686</v>
      </c>
      <c r="G301" s="466">
        <v>8</v>
      </c>
      <c r="H301" s="466">
        <v>5.5</v>
      </c>
      <c r="I301" s="466"/>
      <c r="J301" s="466"/>
      <c r="K301" s="466">
        <v>14</v>
      </c>
      <c r="L301" s="464" t="s">
        <v>431</v>
      </c>
      <c r="M301" s="463">
        <v>13456</v>
      </c>
      <c r="N301" s="468" t="s">
        <v>4474</v>
      </c>
      <c r="O301" s="466">
        <v>2</v>
      </c>
      <c r="P301" s="523">
        <v>-0.75</v>
      </c>
      <c r="Q301" s="462">
        <v>9.7349537037037033E-4</v>
      </c>
      <c r="R301" s="463">
        <v>2874</v>
      </c>
      <c r="S301" s="466" t="s">
        <v>625</v>
      </c>
      <c r="T301" s="524"/>
      <c r="W301" s="460"/>
      <c r="AY301" s="486">
        <f t="shared" si="17"/>
        <v>2874</v>
      </c>
      <c r="AZ301" s="487" t="str">
        <f t="shared" si="16"/>
        <v/>
      </c>
      <c r="CH301" s="459"/>
    </row>
    <row r="302" spans="1:90" s="461" customFormat="1" ht="12" customHeight="1" x14ac:dyDescent="0.15">
      <c r="A302" s="522" t="s">
        <v>4010</v>
      </c>
      <c r="B302" s="467">
        <v>42469</v>
      </c>
      <c r="C302" s="468" t="s">
        <v>4015</v>
      </c>
      <c r="D302" s="468" t="s">
        <v>4016</v>
      </c>
      <c r="E302" s="468" t="s">
        <v>3957</v>
      </c>
      <c r="F302" s="468" t="s">
        <v>3686</v>
      </c>
      <c r="G302" s="466">
        <v>11</v>
      </c>
      <c r="H302" s="465">
        <v>6</v>
      </c>
      <c r="I302" s="466"/>
      <c r="J302" s="466"/>
      <c r="K302" s="466">
        <v>14</v>
      </c>
      <c r="L302" s="464" t="s">
        <v>431</v>
      </c>
      <c r="M302" s="463">
        <v>6667</v>
      </c>
      <c r="N302" s="468" t="s">
        <v>3225</v>
      </c>
      <c r="O302" s="466">
        <v>3</v>
      </c>
      <c r="P302" s="523">
        <v>-2</v>
      </c>
      <c r="Q302" s="462">
        <v>8.2893518518518516E-4</v>
      </c>
      <c r="R302" s="463">
        <v>881</v>
      </c>
      <c r="S302" s="466" t="s">
        <v>625</v>
      </c>
      <c r="T302" s="524"/>
      <c r="W302" s="460"/>
      <c r="AY302" s="486">
        <f t="shared" si="17"/>
        <v>881</v>
      </c>
      <c r="AZ302" s="487" t="str">
        <f t="shared" si="16"/>
        <v/>
      </c>
      <c r="CH302" s="459"/>
    </row>
    <row r="303" spans="1:90" s="461" customFormat="1" ht="12" customHeight="1" x14ac:dyDescent="0.15">
      <c r="A303" s="522" t="s">
        <v>1295</v>
      </c>
      <c r="B303" s="467">
        <v>42469</v>
      </c>
      <c r="C303" s="468" t="s">
        <v>646</v>
      </c>
      <c r="D303" s="468" t="s">
        <v>3751</v>
      </c>
      <c r="E303" s="468" t="s">
        <v>3857</v>
      </c>
      <c r="F303" s="468" t="s">
        <v>1068</v>
      </c>
      <c r="G303" s="466">
        <v>6</v>
      </c>
      <c r="H303" s="465">
        <v>9</v>
      </c>
      <c r="I303" s="466" t="s">
        <v>3730</v>
      </c>
      <c r="J303" s="466"/>
      <c r="K303" s="466">
        <v>9</v>
      </c>
      <c r="L303" s="525">
        <v>6</v>
      </c>
      <c r="M303" s="463">
        <v>75000</v>
      </c>
      <c r="N303" s="468" t="s">
        <v>4425</v>
      </c>
      <c r="O303" s="466">
        <v>6</v>
      </c>
      <c r="P303" s="523">
        <v>-6</v>
      </c>
      <c r="Q303" s="462">
        <v>1.2396990740740741E-3</v>
      </c>
      <c r="R303" s="463">
        <v>1500</v>
      </c>
      <c r="S303" s="466"/>
      <c r="T303" s="524"/>
      <c r="W303" s="460"/>
      <c r="AY303" s="486" t="str">
        <f t="shared" si="17"/>
        <v/>
      </c>
      <c r="AZ303" s="487" t="str">
        <f t="shared" si="16"/>
        <v/>
      </c>
      <c r="CH303" s="459"/>
    </row>
    <row r="304" spans="1:90" s="461" customFormat="1" ht="12" customHeight="1" x14ac:dyDescent="0.15">
      <c r="A304" s="522" t="s">
        <v>2170</v>
      </c>
      <c r="B304" s="467">
        <v>42470</v>
      </c>
      <c r="C304" s="468" t="s">
        <v>3908</v>
      </c>
      <c r="D304" s="468" t="s">
        <v>4300</v>
      </c>
      <c r="E304" s="468" t="s">
        <v>4485</v>
      </c>
      <c r="F304" s="468" t="s">
        <v>788</v>
      </c>
      <c r="G304" s="466">
        <v>7</v>
      </c>
      <c r="H304" s="465">
        <v>6</v>
      </c>
      <c r="I304" s="466"/>
      <c r="J304" s="466"/>
      <c r="K304" s="466">
        <v>10</v>
      </c>
      <c r="L304" s="525">
        <f>7/2</f>
        <v>3.5</v>
      </c>
      <c r="M304" s="463">
        <v>47000</v>
      </c>
      <c r="N304" s="468" t="s">
        <v>4486</v>
      </c>
      <c r="O304" s="466">
        <v>7</v>
      </c>
      <c r="P304" s="523">
        <v>-10</v>
      </c>
      <c r="Q304" s="462">
        <v>8.1446759259259265E-4</v>
      </c>
      <c r="R304" s="463">
        <v>0</v>
      </c>
      <c r="S304" s="466"/>
      <c r="T304" s="524" t="s">
        <v>3755</v>
      </c>
      <c r="W304" s="460"/>
      <c r="AY304" s="486" t="str">
        <f t="shared" si="17"/>
        <v/>
      </c>
      <c r="AZ304" s="487" t="str">
        <f t="shared" si="16"/>
        <v/>
      </c>
      <c r="CH304" s="459"/>
    </row>
    <row r="305" spans="1:90" s="469" customFormat="1" ht="12" customHeight="1" x14ac:dyDescent="0.15">
      <c r="A305" s="444" t="s">
        <v>2172</v>
      </c>
      <c r="B305" s="445">
        <v>42470</v>
      </c>
      <c r="C305" s="446" t="s">
        <v>3707</v>
      </c>
      <c r="D305" s="446" t="s">
        <v>3708</v>
      </c>
      <c r="E305" s="446" t="s">
        <v>4579</v>
      </c>
      <c r="F305" s="446" t="s">
        <v>4077</v>
      </c>
      <c r="G305" s="447">
        <v>3</v>
      </c>
      <c r="H305" s="448">
        <v>6</v>
      </c>
      <c r="I305" s="447"/>
      <c r="J305" s="447"/>
      <c r="K305" s="447">
        <v>7</v>
      </c>
      <c r="L305" s="449">
        <f>6/5</f>
        <v>1.2</v>
      </c>
      <c r="M305" s="450">
        <v>5000</v>
      </c>
      <c r="N305" s="446" t="s">
        <v>3739</v>
      </c>
      <c r="O305" s="447">
        <v>1</v>
      </c>
      <c r="P305" s="451">
        <v>3</v>
      </c>
      <c r="Q305" s="452">
        <v>8.7037037037037042E-4</v>
      </c>
      <c r="R305" s="450">
        <v>3000</v>
      </c>
      <c r="S305" s="447" t="s">
        <v>625</v>
      </c>
      <c r="T305" s="453" t="s">
        <v>3714</v>
      </c>
      <c r="U305" s="454"/>
      <c r="V305" s="454"/>
      <c r="W305" s="455"/>
      <c r="X305" s="454"/>
      <c r="Y305" s="454"/>
      <c r="Z305" s="454"/>
      <c r="AA305" s="454"/>
      <c r="AB305" s="454"/>
      <c r="AC305" s="454"/>
      <c r="AD305" s="454"/>
      <c r="AE305" s="454"/>
      <c r="AF305" s="454"/>
      <c r="AG305" s="454"/>
      <c r="AH305" s="454"/>
      <c r="AI305" s="454"/>
      <c r="AJ305" s="454"/>
      <c r="AK305" s="454"/>
      <c r="AL305" s="454"/>
      <c r="AM305" s="454"/>
      <c r="AN305" s="454"/>
      <c r="AO305" s="454"/>
      <c r="AP305" s="454"/>
      <c r="AQ305" s="454"/>
      <c r="AR305" s="454"/>
      <c r="AS305" s="454"/>
      <c r="AT305" s="454"/>
      <c r="AU305" s="454"/>
      <c r="AV305" s="454"/>
      <c r="AW305" s="454"/>
      <c r="AX305" s="454"/>
      <c r="AY305" s="486">
        <f t="shared" si="17"/>
        <v>3000</v>
      </c>
      <c r="AZ305" s="487">
        <f t="shared" si="16"/>
        <v>1</v>
      </c>
      <c r="BA305" s="454"/>
      <c r="BB305" s="454"/>
      <c r="BC305" s="454"/>
      <c r="BD305" s="454"/>
      <c r="BE305" s="454"/>
      <c r="BF305" s="454"/>
      <c r="BG305" s="454"/>
      <c r="BH305" s="454"/>
      <c r="BI305" s="454"/>
      <c r="BJ305" s="454"/>
      <c r="BK305" s="454"/>
      <c r="BL305" s="454"/>
      <c r="BM305" s="454"/>
      <c r="BN305" s="454"/>
      <c r="BO305" s="454"/>
      <c r="BP305" s="454"/>
      <c r="BQ305" s="454"/>
      <c r="BR305" s="454"/>
      <c r="BS305" s="454"/>
      <c r="BT305" s="454"/>
      <c r="BU305" s="454"/>
      <c r="BV305" s="454"/>
      <c r="BW305" s="454"/>
      <c r="BX305" s="454"/>
      <c r="BY305" s="454"/>
      <c r="BZ305" s="454"/>
      <c r="CA305" s="454"/>
      <c r="CB305" s="454"/>
      <c r="CC305" s="454"/>
      <c r="CD305" s="454"/>
      <c r="CE305" s="454"/>
      <c r="CF305" s="454"/>
      <c r="CG305" s="454"/>
      <c r="CH305" s="456"/>
      <c r="CI305" s="454"/>
      <c r="CJ305" s="454"/>
      <c r="CK305" s="454"/>
      <c r="CL305" s="454"/>
    </row>
    <row r="306" spans="1:90" s="461" customFormat="1" ht="12" customHeight="1" x14ac:dyDescent="0.15">
      <c r="A306" s="522" t="s">
        <v>1557</v>
      </c>
      <c r="B306" s="467">
        <v>42470</v>
      </c>
      <c r="C306" s="468" t="s">
        <v>4250</v>
      </c>
      <c r="D306" s="468" t="s">
        <v>4247</v>
      </c>
      <c r="E306" s="468" t="s">
        <v>4248</v>
      </c>
      <c r="F306" s="468" t="s">
        <v>3262</v>
      </c>
      <c r="G306" s="466">
        <v>8</v>
      </c>
      <c r="H306" s="465">
        <v>6</v>
      </c>
      <c r="I306" s="466"/>
      <c r="J306" s="466"/>
      <c r="K306" s="466">
        <v>8</v>
      </c>
      <c r="L306" s="525">
        <v>3</v>
      </c>
      <c r="M306" s="463">
        <v>6900</v>
      </c>
      <c r="N306" s="468" t="s">
        <v>4249</v>
      </c>
      <c r="O306" s="466">
        <v>5</v>
      </c>
      <c r="P306" s="523">
        <v>-1.75</v>
      </c>
      <c r="Q306" s="462">
        <v>8.5185185185185179E-4</v>
      </c>
      <c r="R306" s="463">
        <v>207</v>
      </c>
      <c r="S306" s="466"/>
      <c r="T306" s="524" t="s">
        <v>4504</v>
      </c>
      <c r="W306" s="460"/>
      <c r="AY306" s="486" t="str">
        <f t="shared" si="17"/>
        <v/>
      </c>
      <c r="AZ306" s="487" t="str">
        <f t="shared" si="16"/>
        <v/>
      </c>
      <c r="CH306" s="459"/>
    </row>
    <row r="307" spans="1:90" s="461" customFormat="1" ht="12" customHeight="1" x14ac:dyDescent="0.15">
      <c r="A307" s="522" t="s">
        <v>3838</v>
      </c>
      <c r="B307" s="467">
        <v>42470</v>
      </c>
      <c r="C307" s="468" t="s">
        <v>3841</v>
      </c>
      <c r="D307" s="468" t="s">
        <v>3837</v>
      </c>
      <c r="E307" s="468" t="s">
        <v>4475</v>
      </c>
      <c r="F307" s="468" t="s">
        <v>3836</v>
      </c>
      <c r="G307" s="466">
        <v>9</v>
      </c>
      <c r="H307" s="465">
        <v>6</v>
      </c>
      <c r="I307" s="466"/>
      <c r="J307" s="466" t="s">
        <v>4505</v>
      </c>
      <c r="K307" s="466">
        <v>14</v>
      </c>
      <c r="L307" s="464" t="s">
        <v>431</v>
      </c>
      <c r="M307" s="463">
        <v>2291</v>
      </c>
      <c r="N307" s="468" t="s">
        <v>4007</v>
      </c>
      <c r="O307" s="466">
        <v>2</v>
      </c>
      <c r="P307" s="523">
        <v>-3.75</v>
      </c>
      <c r="Q307" s="462">
        <v>8.9155092592592595E-4</v>
      </c>
      <c r="R307" s="463">
        <v>673</v>
      </c>
      <c r="S307" s="466" t="s">
        <v>625</v>
      </c>
      <c r="T307" s="524"/>
      <c r="W307" s="460"/>
      <c r="AY307" s="486">
        <f t="shared" si="17"/>
        <v>673</v>
      </c>
      <c r="AZ307" s="487" t="str">
        <f t="shared" si="16"/>
        <v/>
      </c>
      <c r="CH307" s="459"/>
    </row>
    <row r="308" spans="1:90" s="461" customFormat="1" ht="12" customHeight="1" x14ac:dyDescent="0.15">
      <c r="A308" s="522" t="s">
        <v>2151</v>
      </c>
      <c r="B308" s="467">
        <v>42471</v>
      </c>
      <c r="C308" s="468" t="s">
        <v>3852</v>
      </c>
      <c r="D308" s="468" t="s">
        <v>4496</v>
      </c>
      <c r="E308" s="468" t="s">
        <v>4256</v>
      </c>
      <c r="F308" s="468" t="s">
        <v>4171</v>
      </c>
      <c r="G308" s="466">
        <v>5</v>
      </c>
      <c r="H308" s="465">
        <v>8</v>
      </c>
      <c r="I308" s="466"/>
      <c r="J308" s="466"/>
      <c r="K308" s="466">
        <v>6</v>
      </c>
      <c r="L308" s="506">
        <v>8</v>
      </c>
      <c r="M308" s="463">
        <v>51000</v>
      </c>
      <c r="N308" s="468" t="s">
        <v>3739</v>
      </c>
      <c r="O308" s="466">
        <v>2</v>
      </c>
      <c r="P308" s="523">
        <v>-2</v>
      </c>
      <c r="Q308" s="462">
        <v>1.1388888888888889E-3</v>
      </c>
      <c r="R308" s="463">
        <v>14280</v>
      </c>
      <c r="S308" s="466"/>
      <c r="T308" s="524" t="s">
        <v>4890</v>
      </c>
      <c r="W308" s="460"/>
      <c r="AY308" s="486" t="str">
        <f t="shared" si="17"/>
        <v/>
      </c>
      <c r="AZ308" s="487" t="str">
        <f t="shared" si="16"/>
        <v/>
      </c>
      <c r="CH308" s="459"/>
    </row>
    <row r="309" spans="1:90" s="469" customFormat="1" ht="12" customHeight="1" x14ac:dyDescent="0.15">
      <c r="A309" s="471" t="s">
        <v>2401</v>
      </c>
      <c r="B309" s="472">
        <v>42471</v>
      </c>
      <c r="C309" s="471" t="s">
        <v>3704</v>
      </c>
      <c r="D309" s="471" t="s">
        <v>3705</v>
      </c>
      <c r="E309" s="471" t="s">
        <v>1623</v>
      </c>
      <c r="F309" s="471" t="s">
        <v>4171</v>
      </c>
      <c r="G309" s="473">
        <v>7</v>
      </c>
      <c r="H309" s="474">
        <v>8</v>
      </c>
      <c r="I309" s="475"/>
      <c r="J309" s="475"/>
      <c r="K309" s="473">
        <v>7</v>
      </c>
      <c r="L309" s="458">
        <v>3</v>
      </c>
      <c r="M309" s="476">
        <v>60000</v>
      </c>
      <c r="N309" s="471" t="s">
        <v>4296</v>
      </c>
      <c r="O309" s="477" t="s">
        <v>431</v>
      </c>
      <c r="P309" s="478" t="s">
        <v>431</v>
      </c>
      <c r="Q309" s="479" t="s">
        <v>431</v>
      </c>
      <c r="R309" s="480" t="s">
        <v>431</v>
      </c>
      <c r="S309" s="477"/>
      <c r="T309" s="481" t="s">
        <v>4508</v>
      </c>
      <c r="U309" s="482"/>
      <c r="V309" s="482"/>
      <c r="W309" s="483"/>
      <c r="X309" s="482"/>
      <c r="Y309" s="482"/>
      <c r="Z309" s="482"/>
      <c r="AA309" s="482"/>
      <c r="AB309" s="482"/>
      <c r="AC309" s="482"/>
      <c r="AD309" s="482"/>
      <c r="AE309" s="482"/>
      <c r="AF309" s="482"/>
      <c r="AG309" s="482"/>
      <c r="AH309" s="482"/>
      <c r="AI309" s="482"/>
      <c r="AJ309" s="482"/>
      <c r="AK309" s="482"/>
      <c r="AL309" s="482"/>
      <c r="AM309" s="482"/>
      <c r="AN309" s="482"/>
      <c r="AO309" s="482"/>
      <c r="AP309" s="482"/>
      <c r="AQ309" s="482"/>
      <c r="AR309" s="482"/>
      <c r="AS309" s="482"/>
      <c r="AT309" s="482"/>
      <c r="AU309" s="482"/>
      <c r="AV309" s="482"/>
      <c r="AW309" s="482"/>
      <c r="AX309" s="482"/>
      <c r="AY309" s="486" t="str">
        <f t="shared" si="17"/>
        <v/>
      </c>
      <c r="AZ309" s="487" t="str">
        <f t="shared" si="16"/>
        <v/>
      </c>
      <c r="BA309" s="482"/>
      <c r="BB309" s="482"/>
      <c r="BC309" s="482"/>
      <c r="BD309" s="482"/>
      <c r="BE309" s="482"/>
      <c r="BF309" s="482"/>
      <c r="BG309" s="482"/>
      <c r="BH309" s="482"/>
      <c r="BI309" s="482"/>
      <c r="BJ309" s="482"/>
      <c r="BK309" s="482"/>
      <c r="BL309" s="482"/>
      <c r="BM309" s="482"/>
      <c r="BN309" s="482"/>
      <c r="BO309" s="482"/>
      <c r="BP309" s="482"/>
      <c r="BQ309" s="482"/>
      <c r="BR309" s="482"/>
      <c r="BS309" s="482"/>
      <c r="BT309" s="482"/>
      <c r="BU309" s="482"/>
      <c r="BV309" s="482"/>
      <c r="BW309" s="482"/>
      <c r="BX309" s="482"/>
      <c r="BY309" s="482"/>
      <c r="BZ309" s="482"/>
      <c r="CA309" s="482"/>
      <c r="CB309" s="482"/>
      <c r="CC309" s="482"/>
      <c r="CD309" s="482"/>
      <c r="CE309" s="482"/>
      <c r="CF309" s="482"/>
      <c r="CG309" s="482"/>
      <c r="CH309" s="484"/>
    </row>
    <row r="310" spans="1:90" s="461" customFormat="1" ht="12" customHeight="1" x14ac:dyDescent="0.15">
      <c r="A310" s="522" t="s">
        <v>2401</v>
      </c>
      <c r="B310" s="467">
        <v>42472</v>
      </c>
      <c r="C310" s="468" t="s">
        <v>3704</v>
      </c>
      <c r="D310" s="468" t="s">
        <v>3705</v>
      </c>
      <c r="E310" s="468" t="s">
        <v>1623</v>
      </c>
      <c r="F310" s="468" t="s">
        <v>4171</v>
      </c>
      <c r="G310" s="466">
        <v>5</v>
      </c>
      <c r="H310" s="465">
        <v>8.3000000000000007</v>
      </c>
      <c r="I310" s="466"/>
      <c r="J310" s="466" t="s">
        <v>960</v>
      </c>
      <c r="K310" s="466">
        <v>4</v>
      </c>
      <c r="L310" s="506">
        <f>9/5</f>
        <v>1.8</v>
      </c>
      <c r="M310" s="463">
        <v>54000</v>
      </c>
      <c r="N310" s="468" t="s">
        <v>4486</v>
      </c>
      <c r="O310" s="466">
        <v>2</v>
      </c>
      <c r="P310" s="523">
        <v>-8</v>
      </c>
      <c r="Q310" s="462">
        <v>1.1787037037037037E-3</v>
      </c>
      <c r="R310" s="463">
        <v>15120</v>
      </c>
      <c r="S310" s="466"/>
      <c r="T310" s="524" t="s">
        <v>3714</v>
      </c>
      <c r="W310" s="460"/>
      <c r="AY310" s="486" t="str">
        <f t="shared" si="17"/>
        <v/>
      </c>
      <c r="AZ310" s="487" t="str">
        <f t="shared" si="16"/>
        <v/>
      </c>
      <c r="CH310" s="459"/>
    </row>
    <row r="311" spans="1:90" s="461" customFormat="1" ht="12" customHeight="1" x14ac:dyDescent="0.15">
      <c r="A311" s="522" t="s">
        <v>3899</v>
      </c>
      <c r="B311" s="467">
        <v>42473</v>
      </c>
      <c r="C311" s="468" t="s">
        <v>2341</v>
      </c>
      <c r="D311" s="468" t="s">
        <v>4494</v>
      </c>
      <c r="E311" s="468" t="s">
        <v>4493</v>
      </c>
      <c r="F311" s="468" t="s">
        <v>540</v>
      </c>
      <c r="G311" s="466">
        <v>5</v>
      </c>
      <c r="H311" s="465">
        <v>6.5</v>
      </c>
      <c r="I311" s="466"/>
      <c r="J311" s="466"/>
      <c r="K311" s="466">
        <v>8</v>
      </c>
      <c r="L311" s="506">
        <v>8</v>
      </c>
      <c r="M311" s="463">
        <v>30000</v>
      </c>
      <c r="N311" s="468" t="s">
        <v>4405</v>
      </c>
      <c r="O311" s="466">
        <v>8</v>
      </c>
      <c r="P311" s="523">
        <v>-23.5</v>
      </c>
      <c r="Q311" s="462">
        <v>8.9236111111111124E-4</v>
      </c>
      <c r="R311" s="463">
        <v>260</v>
      </c>
      <c r="S311" s="466"/>
      <c r="T311" s="524"/>
      <c r="W311" s="460"/>
      <c r="AY311" s="486" t="str">
        <f t="shared" si="17"/>
        <v/>
      </c>
      <c r="AZ311" s="487" t="str">
        <f t="shared" si="16"/>
        <v/>
      </c>
      <c r="CH311" s="459"/>
    </row>
    <row r="312" spans="1:90" s="461" customFormat="1" ht="12" customHeight="1" x14ac:dyDescent="0.15">
      <c r="A312" s="522" t="s">
        <v>2178</v>
      </c>
      <c r="B312" s="467">
        <v>42473</v>
      </c>
      <c r="C312" s="468" t="s">
        <v>4402</v>
      </c>
      <c r="D312" s="468" t="s">
        <v>4403</v>
      </c>
      <c r="E312" s="468" t="s">
        <v>4490</v>
      </c>
      <c r="F312" s="468" t="s">
        <v>2376</v>
      </c>
      <c r="G312" s="466">
        <v>3</v>
      </c>
      <c r="H312" s="465">
        <v>8.3000000000000007</v>
      </c>
      <c r="I312" s="466"/>
      <c r="J312" s="466"/>
      <c r="K312" s="466">
        <v>6</v>
      </c>
      <c r="L312" s="506">
        <v>6</v>
      </c>
      <c r="M312" s="463">
        <v>11400</v>
      </c>
      <c r="N312" s="468" t="s">
        <v>3762</v>
      </c>
      <c r="O312" s="466">
        <v>5</v>
      </c>
      <c r="P312" s="523">
        <v>-7.75</v>
      </c>
      <c r="Q312" s="462">
        <v>1.2480324074074073E-3</v>
      </c>
      <c r="R312" s="463">
        <v>342</v>
      </c>
      <c r="S312" s="466"/>
      <c r="T312" s="524"/>
      <c r="W312" s="460"/>
      <c r="AY312" s="486" t="str">
        <f t="shared" si="17"/>
        <v/>
      </c>
      <c r="AZ312" s="487" t="str">
        <f t="shared" si="16"/>
        <v/>
      </c>
      <c r="CH312" s="459"/>
    </row>
    <row r="313" spans="1:90" s="461" customFormat="1" ht="12" customHeight="1" x14ac:dyDescent="0.15">
      <c r="A313" s="522" t="s">
        <v>2228</v>
      </c>
      <c r="B313" s="467">
        <v>42473</v>
      </c>
      <c r="C313" s="468" t="s">
        <v>3866</v>
      </c>
      <c r="D313" s="468" t="s">
        <v>4491</v>
      </c>
      <c r="E313" s="468" t="s">
        <v>4492</v>
      </c>
      <c r="F313" s="468" t="s">
        <v>993</v>
      </c>
      <c r="G313" s="466">
        <v>1</v>
      </c>
      <c r="H313" s="465">
        <v>6.5</v>
      </c>
      <c r="I313" s="466"/>
      <c r="J313" s="466"/>
      <c r="K313" s="466">
        <v>9</v>
      </c>
      <c r="L313" s="525">
        <v>12</v>
      </c>
      <c r="M313" s="463">
        <v>10000</v>
      </c>
      <c r="N313" s="468" t="s">
        <v>4495</v>
      </c>
      <c r="O313" s="466">
        <v>4</v>
      </c>
      <c r="P313" s="523">
        <v>-2.5</v>
      </c>
      <c r="Q313" s="462">
        <v>9.7777777777777772E-4</v>
      </c>
      <c r="R313" s="463">
        <v>485</v>
      </c>
      <c r="S313" s="466"/>
      <c r="T313" s="524"/>
      <c r="W313" s="460"/>
      <c r="AY313" s="486" t="str">
        <f t="shared" si="17"/>
        <v/>
      </c>
      <c r="AZ313" s="487" t="str">
        <f t="shared" si="16"/>
        <v/>
      </c>
      <c r="CH313" s="459"/>
    </row>
    <row r="314" spans="1:90" s="461" customFormat="1" ht="12" customHeight="1" x14ac:dyDescent="0.15">
      <c r="A314" s="522" t="s">
        <v>2480</v>
      </c>
      <c r="B314" s="467">
        <v>42474</v>
      </c>
      <c r="C314" s="468" t="s">
        <v>3992</v>
      </c>
      <c r="D314" s="468" t="s">
        <v>3990</v>
      </c>
      <c r="E314" s="468" t="s">
        <v>4497</v>
      </c>
      <c r="F314" s="468" t="s">
        <v>540</v>
      </c>
      <c r="G314" s="466">
        <v>5</v>
      </c>
      <c r="H314" s="465">
        <v>8</v>
      </c>
      <c r="I314" s="466"/>
      <c r="J314" s="466"/>
      <c r="K314" s="466">
        <v>7</v>
      </c>
      <c r="L314" s="525">
        <v>12</v>
      </c>
      <c r="M314" s="463">
        <v>24000</v>
      </c>
      <c r="N314" s="468" t="s">
        <v>4651</v>
      </c>
      <c r="O314" s="466">
        <v>5</v>
      </c>
      <c r="P314" s="523">
        <v>-21.25</v>
      </c>
      <c r="Q314" s="462">
        <v>1.1163194444444443E-3</v>
      </c>
      <c r="R314" s="463">
        <v>210</v>
      </c>
      <c r="S314" s="466"/>
      <c r="T314" s="524"/>
      <c r="W314" s="460"/>
      <c r="AY314" s="486" t="str">
        <f t="shared" si="17"/>
        <v/>
      </c>
      <c r="AZ314" s="487" t="str">
        <f t="shared" si="16"/>
        <v/>
      </c>
      <c r="CH314" s="459"/>
    </row>
    <row r="315" spans="1:90" s="461" customFormat="1" ht="12" customHeight="1" x14ac:dyDescent="0.15">
      <c r="A315" s="522" t="s">
        <v>2467</v>
      </c>
      <c r="B315" s="467">
        <v>42475</v>
      </c>
      <c r="C315" s="468" t="s">
        <v>3186</v>
      </c>
      <c r="D315" s="468" t="s">
        <v>5144</v>
      </c>
      <c r="E315" s="468" t="s">
        <v>3228</v>
      </c>
      <c r="F315" s="468" t="s">
        <v>525</v>
      </c>
      <c r="G315" s="466">
        <v>2</v>
      </c>
      <c r="H315" s="465">
        <v>8.5</v>
      </c>
      <c r="I315" s="466" t="s">
        <v>3730</v>
      </c>
      <c r="J315" s="466"/>
      <c r="K315" s="466">
        <v>6</v>
      </c>
      <c r="L315" s="525">
        <v>15</v>
      </c>
      <c r="M315" s="463">
        <v>50000</v>
      </c>
      <c r="N315" s="468" t="s">
        <v>4506</v>
      </c>
      <c r="O315" s="466">
        <v>5</v>
      </c>
      <c r="P315" s="523">
        <v>-20.75</v>
      </c>
      <c r="Q315" s="462">
        <v>1.2096064814814814E-3</v>
      </c>
      <c r="R315" s="463">
        <v>1500</v>
      </c>
      <c r="S315" s="466"/>
      <c r="T315" s="524"/>
      <c r="W315" s="460"/>
      <c r="AY315" s="486" t="str">
        <f t="shared" si="17"/>
        <v/>
      </c>
      <c r="AZ315" s="487" t="str">
        <f t="shared" si="16"/>
        <v/>
      </c>
      <c r="CH315" s="459"/>
    </row>
    <row r="316" spans="1:90" s="469" customFormat="1" ht="12" customHeight="1" x14ac:dyDescent="0.15">
      <c r="A316" s="444" t="s">
        <v>4518</v>
      </c>
      <c r="B316" s="445">
        <v>42475</v>
      </c>
      <c r="C316" s="446" t="s">
        <v>4519</v>
      </c>
      <c r="D316" s="446" t="s">
        <v>4520</v>
      </c>
      <c r="E316" s="446" t="s">
        <v>4535</v>
      </c>
      <c r="F316" s="446" t="s">
        <v>3686</v>
      </c>
      <c r="G316" s="447">
        <v>3</v>
      </c>
      <c r="H316" s="447">
        <v>5.5</v>
      </c>
      <c r="I316" s="447"/>
      <c r="J316" s="447" t="s">
        <v>960</v>
      </c>
      <c r="K316" s="447">
        <v>8</v>
      </c>
      <c r="L316" s="449">
        <v>4</v>
      </c>
      <c r="M316" s="450">
        <v>5817</v>
      </c>
      <c r="N316" s="446" t="s">
        <v>3653</v>
      </c>
      <c r="O316" s="447">
        <v>1</v>
      </c>
      <c r="P316" s="451">
        <v>2.75</v>
      </c>
      <c r="Q316" s="452">
        <v>7.7199074074074062E-4</v>
      </c>
      <c r="R316" s="450">
        <v>3435</v>
      </c>
      <c r="S316" s="447" t="s">
        <v>625</v>
      </c>
      <c r="T316" s="453"/>
      <c r="U316" s="454"/>
      <c r="V316" s="454"/>
      <c r="W316" s="455"/>
      <c r="X316" s="454"/>
      <c r="Y316" s="454"/>
      <c r="Z316" s="454"/>
      <c r="AA316" s="454"/>
      <c r="AB316" s="454"/>
      <c r="AC316" s="454"/>
      <c r="AD316" s="454"/>
      <c r="AE316" s="454"/>
      <c r="AF316" s="454"/>
      <c r="AG316" s="454"/>
      <c r="AH316" s="454"/>
      <c r="AI316" s="454"/>
      <c r="AJ316" s="454"/>
      <c r="AK316" s="454"/>
      <c r="AL316" s="454"/>
      <c r="AM316" s="454"/>
      <c r="AN316" s="454"/>
      <c r="AO316" s="454"/>
      <c r="AP316" s="454"/>
      <c r="AQ316" s="454"/>
      <c r="AR316" s="454"/>
      <c r="AS316" s="454"/>
      <c r="AT316" s="454"/>
      <c r="AU316" s="454"/>
      <c r="AV316" s="454"/>
      <c r="AW316" s="454"/>
      <c r="AX316" s="454"/>
      <c r="AY316" s="486">
        <f t="shared" si="17"/>
        <v>3435</v>
      </c>
      <c r="AZ316" s="487">
        <f t="shared" si="16"/>
        <v>1</v>
      </c>
      <c r="BA316" s="454"/>
      <c r="BB316" s="454"/>
      <c r="BC316" s="454"/>
      <c r="BD316" s="454"/>
      <c r="BE316" s="454"/>
      <c r="BF316" s="454"/>
      <c r="BG316" s="454"/>
      <c r="BH316" s="454"/>
      <c r="BI316" s="454"/>
      <c r="BJ316" s="454"/>
      <c r="BK316" s="454"/>
      <c r="BL316" s="454"/>
      <c r="BM316" s="454"/>
      <c r="BN316" s="454"/>
      <c r="BO316" s="454"/>
      <c r="BP316" s="454"/>
      <c r="BQ316" s="454"/>
      <c r="BR316" s="454"/>
      <c r="BS316" s="454"/>
      <c r="BT316" s="454"/>
      <c r="BU316" s="454"/>
      <c r="BV316" s="454"/>
      <c r="BW316" s="454"/>
      <c r="BX316" s="454"/>
      <c r="BY316" s="454"/>
      <c r="BZ316" s="454"/>
      <c r="CA316" s="454"/>
      <c r="CB316" s="454"/>
      <c r="CC316" s="454"/>
      <c r="CD316" s="454"/>
      <c r="CE316" s="454"/>
      <c r="CF316" s="454"/>
      <c r="CG316" s="454"/>
      <c r="CH316" s="456"/>
      <c r="CI316" s="454"/>
      <c r="CJ316" s="454"/>
      <c r="CK316" s="454"/>
      <c r="CL316" s="454"/>
    </row>
    <row r="317" spans="1:90" s="461" customFormat="1" ht="12" customHeight="1" x14ac:dyDescent="0.15">
      <c r="A317" s="522" t="s">
        <v>3426</v>
      </c>
      <c r="B317" s="467">
        <v>42475</v>
      </c>
      <c r="C317" s="468" t="s">
        <v>3655</v>
      </c>
      <c r="D317" s="468" t="s">
        <v>3298</v>
      </c>
      <c r="E317" s="468" t="s">
        <v>3699</v>
      </c>
      <c r="F317" s="468" t="s">
        <v>3686</v>
      </c>
      <c r="G317" s="466">
        <v>7</v>
      </c>
      <c r="H317" s="465">
        <v>7</v>
      </c>
      <c r="I317" s="466"/>
      <c r="J317" s="466" t="s">
        <v>960</v>
      </c>
      <c r="K317" s="466">
        <v>9</v>
      </c>
      <c r="L317" s="525">
        <v>4</v>
      </c>
      <c r="M317" s="463">
        <v>6137</v>
      </c>
      <c r="N317" s="468" t="s">
        <v>3653</v>
      </c>
      <c r="O317" s="466">
        <v>3</v>
      </c>
      <c r="P317" s="523">
        <v>-8.5</v>
      </c>
      <c r="Q317" s="462">
        <v>1.0063657407407408E-3</v>
      </c>
      <c r="R317" s="463">
        <v>785</v>
      </c>
      <c r="S317" s="466" t="s">
        <v>625</v>
      </c>
      <c r="T317" s="524"/>
      <c r="W317" s="460"/>
      <c r="AY317" s="486">
        <f t="shared" si="17"/>
        <v>785</v>
      </c>
      <c r="AZ317" s="487" t="str">
        <f t="shared" si="16"/>
        <v/>
      </c>
      <c r="CH317" s="459"/>
    </row>
    <row r="318" spans="1:90" s="461" customFormat="1" ht="12" customHeight="1" x14ac:dyDescent="0.15">
      <c r="A318" s="522" t="s">
        <v>1534</v>
      </c>
      <c r="B318" s="467">
        <v>42476</v>
      </c>
      <c r="C318" s="468" t="s">
        <v>4825</v>
      </c>
      <c r="D318" s="468" t="s">
        <v>4510</v>
      </c>
      <c r="E318" s="468" t="s">
        <v>4514</v>
      </c>
      <c r="F318" s="468" t="s">
        <v>4171</v>
      </c>
      <c r="G318" s="466">
        <v>2</v>
      </c>
      <c r="H318" s="465">
        <v>8.3000000000000007</v>
      </c>
      <c r="I318" s="466"/>
      <c r="J318" s="466"/>
      <c r="K318" s="466">
        <v>10</v>
      </c>
      <c r="L318" s="525">
        <v>12</v>
      </c>
      <c r="M318" s="463">
        <v>18000</v>
      </c>
      <c r="N318" s="468" t="s">
        <v>3762</v>
      </c>
      <c r="O318" s="466">
        <v>6</v>
      </c>
      <c r="P318" s="523">
        <v>-11</v>
      </c>
      <c r="Q318" s="462">
        <v>1.218287037037037E-3</v>
      </c>
      <c r="R318" s="463">
        <v>250</v>
      </c>
      <c r="S318" s="466"/>
      <c r="T318" s="524"/>
      <c r="W318" s="460"/>
      <c r="AY318" s="486" t="str">
        <f t="shared" si="17"/>
        <v/>
      </c>
      <c r="AZ318" s="487" t="str">
        <f t="shared" si="16"/>
        <v/>
      </c>
      <c r="CH318" s="459"/>
    </row>
    <row r="319" spans="1:90" s="469" customFormat="1" ht="12" customHeight="1" x14ac:dyDescent="0.15">
      <c r="A319" s="444" t="s">
        <v>2155</v>
      </c>
      <c r="B319" s="445">
        <v>42476</v>
      </c>
      <c r="C319" s="446" t="s">
        <v>1767</v>
      </c>
      <c r="D319" s="446" t="s">
        <v>3881</v>
      </c>
      <c r="E319" s="446" t="s">
        <v>3880</v>
      </c>
      <c r="F319" s="446" t="s">
        <v>788</v>
      </c>
      <c r="G319" s="447">
        <v>5</v>
      </c>
      <c r="H319" s="448">
        <v>8</v>
      </c>
      <c r="I319" s="447"/>
      <c r="J319" s="447"/>
      <c r="K319" s="447">
        <v>7</v>
      </c>
      <c r="L319" s="449">
        <v>3</v>
      </c>
      <c r="M319" s="450">
        <v>32000</v>
      </c>
      <c r="N319" s="446" t="s">
        <v>4539</v>
      </c>
      <c r="O319" s="447">
        <v>1</v>
      </c>
      <c r="P319" s="451">
        <v>3.5</v>
      </c>
      <c r="Q319" s="452">
        <v>1.1383101851851851E-3</v>
      </c>
      <c r="R319" s="450">
        <v>23712</v>
      </c>
      <c r="S319" s="447"/>
      <c r="T319" s="453"/>
      <c r="U319" s="454"/>
      <c r="V319" s="454"/>
      <c r="W319" s="455"/>
      <c r="X319" s="454"/>
      <c r="Y319" s="454"/>
      <c r="Z319" s="454"/>
      <c r="AA319" s="454"/>
      <c r="AB319" s="454"/>
      <c r="AC319" s="454"/>
      <c r="AD319" s="454"/>
      <c r="AE319" s="454"/>
      <c r="AF319" s="454"/>
      <c r="AG319" s="454"/>
      <c r="AH319" s="454"/>
      <c r="AI319" s="454"/>
      <c r="AJ319" s="454"/>
      <c r="AK319" s="454"/>
      <c r="AL319" s="454"/>
      <c r="AM319" s="454"/>
      <c r="AN319" s="454"/>
      <c r="AO319" s="454"/>
      <c r="AP319" s="454"/>
      <c r="AQ319" s="454"/>
      <c r="AR319" s="454"/>
      <c r="AS319" s="454"/>
      <c r="AT319" s="454"/>
      <c r="AU319" s="454"/>
      <c r="AV319" s="454"/>
      <c r="AW319" s="454"/>
      <c r="AX319" s="454"/>
      <c r="AY319" s="486" t="str">
        <f t="shared" si="17"/>
        <v/>
      </c>
      <c r="AZ319" s="487">
        <f t="shared" si="16"/>
        <v>1</v>
      </c>
      <c r="BA319" s="454"/>
      <c r="BB319" s="454"/>
      <c r="BC319" s="454"/>
      <c r="BD319" s="454"/>
      <c r="BE319" s="454"/>
      <c r="BF319" s="454"/>
      <c r="BG319" s="454"/>
      <c r="BH319" s="454"/>
      <c r="BI319" s="454"/>
      <c r="BJ319" s="454"/>
      <c r="BK319" s="454"/>
      <c r="BL319" s="454"/>
      <c r="BM319" s="454"/>
      <c r="BN319" s="454"/>
      <c r="BO319" s="454"/>
      <c r="BP319" s="454"/>
      <c r="BQ319" s="454"/>
      <c r="BR319" s="454"/>
      <c r="BS319" s="454"/>
      <c r="BT319" s="454"/>
      <c r="BU319" s="454"/>
      <c r="BV319" s="454"/>
      <c r="BW319" s="454"/>
      <c r="BX319" s="454"/>
      <c r="BY319" s="454"/>
      <c r="BZ319" s="454"/>
      <c r="CA319" s="454"/>
      <c r="CB319" s="454"/>
      <c r="CC319" s="454"/>
      <c r="CD319" s="454"/>
      <c r="CE319" s="454"/>
      <c r="CF319" s="454"/>
      <c r="CG319" s="454"/>
      <c r="CH319" s="456"/>
      <c r="CI319" s="454"/>
      <c r="CJ319" s="454"/>
      <c r="CK319" s="454"/>
      <c r="CL319" s="454"/>
    </row>
    <row r="320" spans="1:90" s="461" customFormat="1" ht="12" customHeight="1" x14ac:dyDescent="0.15">
      <c r="A320" s="522" t="s">
        <v>3154</v>
      </c>
      <c r="B320" s="467">
        <v>42476</v>
      </c>
      <c r="C320" s="468" t="s">
        <v>4170</v>
      </c>
      <c r="D320" s="468" t="s">
        <v>3705</v>
      </c>
      <c r="E320" s="468" t="s">
        <v>3856</v>
      </c>
      <c r="F320" s="468" t="s">
        <v>4171</v>
      </c>
      <c r="G320" s="466">
        <v>7</v>
      </c>
      <c r="H320" s="465">
        <v>8.3000000000000007</v>
      </c>
      <c r="I320" s="466"/>
      <c r="J320" s="466"/>
      <c r="K320" s="466">
        <v>7</v>
      </c>
      <c r="L320" s="525">
        <f>5/2</f>
        <v>2.5</v>
      </c>
      <c r="M320" s="463">
        <v>51000</v>
      </c>
      <c r="N320" s="468" t="s">
        <v>3225</v>
      </c>
      <c r="O320" s="466">
        <v>7</v>
      </c>
      <c r="P320" s="555" t="s">
        <v>1202</v>
      </c>
      <c r="Q320" s="462">
        <v>1.1841435185185186E-3</v>
      </c>
      <c r="R320" s="463">
        <v>0</v>
      </c>
      <c r="S320" s="466"/>
      <c r="T320" s="524" t="s">
        <v>5031</v>
      </c>
      <c r="W320" s="460"/>
      <c r="AY320" s="486" t="str">
        <f t="shared" si="17"/>
        <v/>
      </c>
      <c r="AZ320" s="487" t="str">
        <f t="shared" si="16"/>
        <v/>
      </c>
      <c r="CH320" s="459"/>
    </row>
    <row r="321" spans="1:90" s="461" customFormat="1" ht="12" customHeight="1" x14ac:dyDescent="0.15">
      <c r="A321" s="522" t="s">
        <v>3339</v>
      </c>
      <c r="B321" s="467">
        <v>42476</v>
      </c>
      <c r="C321" s="468" t="s">
        <v>3704</v>
      </c>
      <c r="D321" s="468" t="s">
        <v>3705</v>
      </c>
      <c r="E321" s="468" t="s">
        <v>3786</v>
      </c>
      <c r="F321" s="468" t="s">
        <v>4171</v>
      </c>
      <c r="G321" s="466">
        <v>7</v>
      </c>
      <c r="H321" s="465">
        <v>8.3000000000000007</v>
      </c>
      <c r="I321" s="466"/>
      <c r="J321" s="466"/>
      <c r="K321" s="466">
        <v>7</v>
      </c>
      <c r="L321" s="525">
        <f>9/2</f>
        <v>4.5</v>
      </c>
      <c r="M321" s="463">
        <v>51000</v>
      </c>
      <c r="N321" s="468" t="s">
        <v>3225</v>
      </c>
      <c r="O321" s="466">
        <v>5</v>
      </c>
      <c r="P321" s="523">
        <v>-12.5</v>
      </c>
      <c r="Q321" s="462">
        <v>1.1841435185185186E-3</v>
      </c>
      <c r="R321" s="463">
        <v>1530</v>
      </c>
      <c r="S321" s="466"/>
      <c r="T321" s="524" t="s">
        <v>5032</v>
      </c>
      <c r="W321" s="460"/>
      <c r="AY321" s="486" t="str">
        <f t="shared" si="17"/>
        <v/>
      </c>
      <c r="AZ321" s="487" t="str">
        <f t="shared" si="16"/>
        <v/>
      </c>
      <c r="CH321" s="459"/>
    </row>
    <row r="322" spans="1:90" s="469" customFormat="1" ht="12" customHeight="1" x14ac:dyDescent="0.15">
      <c r="A322" s="471" t="s">
        <v>1558</v>
      </c>
      <c r="B322" s="472">
        <v>42476</v>
      </c>
      <c r="C322" s="471" t="s">
        <v>4372</v>
      </c>
      <c r="D322" s="471" t="s">
        <v>4270</v>
      </c>
      <c r="E322" s="471" t="s">
        <v>3188</v>
      </c>
      <c r="F322" s="471" t="s">
        <v>866</v>
      </c>
      <c r="G322" s="473">
        <v>7</v>
      </c>
      <c r="H322" s="474">
        <v>9</v>
      </c>
      <c r="I322" s="475"/>
      <c r="J322" s="475"/>
      <c r="K322" s="473">
        <v>10</v>
      </c>
      <c r="L322" s="485" t="s">
        <v>431</v>
      </c>
      <c r="M322" s="476">
        <v>200000</v>
      </c>
      <c r="N322" s="471" t="s">
        <v>4452</v>
      </c>
      <c r="O322" s="477" t="s">
        <v>431</v>
      </c>
      <c r="P322" s="478" t="s">
        <v>431</v>
      </c>
      <c r="Q322" s="479" t="s">
        <v>431</v>
      </c>
      <c r="R322" s="480" t="s">
        <v>431</v>
      </c>
      <c r="S322" s="477"/>
      <c r="T322" s="481" t="s">
        <v>4110</v>
      </c>
      <c r="U322" s="482"/>
      <c r="V322" s="482"/>
      <c r="W322" s="483"/>
      <c r="X322" s="482"/>
      <c r="Y322" s="482"/>
      <c r="Z322" s="482"/>
      <c r="AA322" s="482"/>
      <c r="AB322" s="482"/>
      <c r="AC322" s="482"/>
      <c r="AD322" s="482"/>
      <c r="AE322" s="482"/>
      <c r="AF322" s="482"/>
      <c r="AG322" s="482"/>
      <c r="AH322" s="482"/>
      <c r="AI322" s="482"/>
      <c r="AJ322" s="482"/>
      <c r="AK322" s="482"/>
      <c r="AL322" s="482"/>
      <c r="AM322" s="482"/>
      <c r="AN322" s="482"/>
      <c r="AO322" s="482"/>
      <c r="AP322" s="482"/>
      <c r="AQ322" s="482"/>
      <c r="AR322" s="482"/>
      <c r="AS322" s="482"/>
      <c r="AT322" s="482"/>
      <c r="AU322" s="482"/>
      <c r="AV322" s="482"/>
      <c r="AW322" s="482"/>
      <c r="AX322" s="482"/>
      <c r="AY322" s="486" t="str">
        <f t="shared" si="17"/>
        <v/>
      </c>
      <c r="AZ322" s="487" t="str">
        <f t="shared" si="16"/>
        <v/>
      </c>
      <c r="BA322" s="482"/>
      <c r="BB322" s="482"/>
      <c r="BC322" s="482"/>
      <c r="BD322" s="482"/>
      <c r="BE322" s="482"/>
      <c r="BF322" s="482"/>
      <c r="BG322" s="482"/>
      <c r="BH322" s="482"/>
      <c r="BI322" s="482"/>
      <c r="BJ322" s="482"/>
      <c r="BK322" s="482"/>
      <c r="BL322" s="482"/>
      <c r="BM322" s="482"/>
      <c r="BN322" s="482"/>
      <c r="BO322" s="482"/>
      <c r="BP322" s="482"/>
      <c r="BQ322" s="482"/>
      <c r="BR322" s="482"/>
      <c r="BS322" s="482"/>
      <c r="BT322" s="482"/>
      <c r="BU322" s="482"/>
      <c r="BV322" s="482"/>
      <c r="BW322" s="482"/>
      <c r="BX322" s="482"/>
      <c r="BY322" s="482"/>
      <c r="BZ322" s="482"/>
      <c r="CA322" s="482"/>
      <c r="CB322" s="482"/>
      <c r="CC322" s="482"/>
      <c r="CD322" s="482"/>
      <c r="CE322" s="482"/>
      <c r="CF322" s="482"/>
      <c r="CG322" s="482"/>
      <c r="CH322" s="484"/>
    </row>
    <row r="323" spans="1:90" s="469" customFormat="1" ht="12" customHeight="1" x14ac:dyDescent="0.15">
      <c r="A323" s="444" t="s">
        <v>4011</v>
      </c>
      <c r="B323" s="445">
        <v>42476</v>
      </c>
      <c r="C323" s="446" t="s">
        <v>4018</v>
      </c>
      <c r="D323" s="446" t="s">
        <v>4017</v>
      </c>
      <c r="E323" s="446" t="s">
        <v>3699</v>
      </c>
      <c r="F323" s="446" t="s">
        <v>3686</v>
      </c>
      <c r="G323" s="447">
        <v>7</v>
      </c>
      <c r="H323" s="448">
        <v>6</v>
      </c>
      <c r="I323" s="447"/>
      <c r="J323" s="447" t="s">
        <v>4371</v>
      </c>
      <c r="K323" s="447">
        <v>9</v>
      </c>
      <c r="L323" s="448" t="s">
        <v>431</v>
      </c>
      <c r="M323" s="450">
        <v>9205</v>
      </c>
      <c r="N323" s="446" t="s">
        <v>3955</v>
      </c>
      <c r="O323" s="447">
        <v>1</v>
      </c>
      <c r="P323" s="451">
        <v>6.75</v>
      </c>
      <c r="Q323" s="452">
        <v>8.2916666666666653E-4</v>
      </c>
      <c r="R323" s="450">
        <v>5435</v>
      </c>
      <c r="S323" s="447" t="s">
        <v>625</v>
      </c>
      <c r="T323" s="453"/>
      <c r="U323" s="454"/>
      <c r="V323" s="454"/>
      <c r="W323" s="455"/>
      <c r="X323" s="454"/>
      <c r="Y323" s="454"/>
      <c r="Z323" s="454"/>
      <c r="AA323" s="454"/>
      <c r="AB323" s="454"/>
      <c r="AC323" s="454"/>
      <c r="AD323" s="454"/>
      <c r="AE323" s="454"/>
      <c r="AF323" s="454"/>
      <c r="AG323" s="454"/>
      <c r="AH323" s="454"/>
      <c r="AI323" s="454"/>
      <c r="AJ323" s="454"/>
      <c r="AK323" s="454"/>
      <c r="AL323" s="454"/>
      <c r="AM323" s="454"/>
      <c r="AN323" s="454"/>
      <c r="AO323" s="454"/>
      <c r="AP323" s="454"/>
      <c r="AQ323" s="454"/>
      <c r="AR323" s="454"/>
      <c r="AS323" s="454"/>
      <c r="AT323" s="454"/>
      <c r="AU323" s="454"/>
      <c r="AV323" s="454"/>
      <c r="AW323" s="454"/>
      <c r="AX323" s="454"/>
      <c r="AY323" s="486">
        <f t="shared" si="17"/>
        <v>5435</v>
      </c>
      <c r="AZ323" s="487">
        <f t="shared" ref="AZ323:AZ354" si="18">IF(F323="Pleasant Meadows","",IF(L323="","",IF(O323="--","",IF(O323=1,1,""))))</f>
        <v>1</v>
      </c>
      <c r="BA323" s="454"/>
      <c r="BB323" s="454"/>
      <c r="BC323" s="454"/>
      <c r="BD323" s="454"/>
      <c r="BE323" s="454"/>
      <c r="BF323" s="454"/>
      <c r="BG323" s="454"/>
      <c r="BH323" s="454"/>
      <c r="BI323" s="454"/>
      <c r="BJ323" s="454"/>
      <c r="BK323" s="454"/>
      <c r="BL323" s="454"/>
      <c r="BM323" s="454"/>
      <c r="BN323" s="454"/>
      <c r="BO323" s="454"/>
      <c r="BP323" s="454"/>
      <c r="BQ323" s="454"/>
      <c r="BR323" s="454"/>
      <c r="BS323" s="454"/>
      <c r="BT323" s="454"/>
      <c r="BU323" s="454"/>
      <c r="BV323" s="454"/>
      <c r="BW323" s="454"/>
      <c r="BX323" s="454"/>
      <c r="BY323" s="454"/>
      <c r="BZ323" s="454"/>
      <c r="CA323" s="454"/>
      <c r="CB323" s="454"/>
      <c r="CC323" s="454"/>
      <c r="CD323" s="454"/>
      <c r="CE323" s="454"/>
      <c r="CF323" s="454"/>
      <c r="CG323" s="454"/>
      <c r="CH323" s="456"/>
      <c r="CI323" s="454"/>
      <c r="CJ323" s="454"/>
      <c r="CK323" s="454"/>
      <c r="CL323" s="454"/>
    </row>
    <row r="324" spans="1:90" s="461" customFormat="1" ht="12" customHeight="1" x14ac:dyDescent="0.15">
      <c r="A324" s="522" t="s">
        <v>3944</v>
      </c>
      <c r="B324" s="467">
        <v>42476</v>
      </c>
      <c r="C324" s="468" t="s">
        <v>3949</v>
      </c>
      <c r="D324" s="468" t="s">
        <v>3945</v>
      </c>
      <c r="E324" s="468" t="s">
        <v>3848</v>
      </c>
      <c r="F324" s="468" t="s">
        <v>3686</v>
      </c>
      <c r="G324" s="466">
        <v>8</v>
      </c>
      <c r="H324" s="465">
        <v>10</v>
      </c>
      <c r="I324" s="466"/>
      <c r="J324" s="466" t="s">
        <v>4371</v>
      </c>
      <c r="K324" s="466">
        <v>9</v>
      </c>
      <c r="L324" s="465" t="s">
        <v>431</v>
      </c>
      <c r="M324" s="463">
        <v>9497</v>
      </c>
      <c r="N324" s="468" t="s">
        <v>3225</v>
      </c>
      <c r="O324" s="466">
        <v>4</v>
      </c>
      <c r="P324" s="523">
        <v>-13.75</v>
      </c>
      <c r="Q324" s="462">
        <v>1.4253472222222222E-3</v>
      </c>
      <c r="R324" s="463">
        <v>561</v>
      </c>
      <c r="S324" s="466" t="s">
        <v>625</v>
      </c>
      <c r="T324" s="524"/>
      <c r="W324" s="460"/>
      <c r="AY324" s="486">
        <f t="shared" si="17"/>
        <v>561</v>
      </c>
      <c r="AZ324" s="487" t="str">
        <f t="shared" si="18"/>
        <v/>
      </c>
      <c r="CH324" s="459"/>
    </row>
    <row r="325" spans="1:90" s="461" customFormat="1" ht="12" customHeight="1" x14ac:dyDescent="0.15">
      <c r="A325" s="522" t="s">
        <v>3204</v>
      </c>
      <c r="B325" s="467">
        <v>42476</v>
      </c>
      <c r="C325" s="468" t="s">
        <v>3633</v>
      </c>
      <c r="D325" s="468" t="s">
        <v>3295</v>
      </c>
      <c r="E325" s="468" t="s">
        <v>4537</v>
      </c>
      <c r="F325" s="468" t="s">
        <v>788</v>
      </c>
      <c r="G325" s="466">
        <v>9</v>
      </c>
      <c r="H325" s="465">
        <v>5.5</v>
      </c>
      <c r="I325" s="466" t="s">
        <v>3730</v>
      </c>
      <c r="J325" s="466"/>
      <c r="K325" s="466">
        <v>11</v>
      </c>
      <c r="L325" s="464">
        <v>30</v>
      </c>
      <c r="M325" s="463">
        <v>28000</v>
      </c>
      <c r="N325" s="468" t="s">
        <v>4538</v>
      </c>
      <c r="O325" s="466">
        <v>11</v>
      </c>
      <c r="P325" s="523">
        <v>-43.75</v>
      </c>
      <c r="Q325" s="462">
        <v>7.1342592592592595E-4</v>
      </c>
      <c r="R325" s="463">
        <v>0</v>
      </c>
      <c r="S325" s="466"/>
      <c r="T325" s="524" t="s">
        <v>4338</v>
      </c>
      <c r="W325" s="460"/>
      <c r="AY325" s="486" t="str">
        <f t="shared" si="17"/>
        <v/>
      </c>
      <c r="AZ325" s="487" t="str">
        <f t="shared" si="18"/>
        <v/>
      </c>
      <c r="CH325" s="459"/>
    </row>
    <row r="326" spans="1:90" s="461" customFormat="1" ht="12" customHeight="1" x14ac:dyDescent="0.15">
      <c r="A326" s="522" t="s">
        <v>3935</v>
      </c>
      <c r="B326" s="467">
        <v>42476</v>
      </c>
      <c r="C326" s="468" t="s">
        <v>2546</v>
      </c>
      <c r="D326" s="468" t="s">
        <v>3936</v>
      </c>
      <c r="E326" s="468" t="s">
        <v>3959</v>
      </c>
      <c r="F326" s="468" t="s">
        <v>3686</v>
      </c>
      <c r="G326" s="466">
        <v>10</v>
      </c>
      <c r="H326" s="465">
        <v>7</v>
      </c>
      <c r="I326" s="466"/>
      <c r="J326" s="466" t="s">
        <v>4371</v>
      </c>
      <c r="K326" s="466">
        <v>13</v>
      </c>
      <c r="L326" s="464" t="s">
        <v>431</v>
      </c>
      <c r="M326" s="463">
        <v>6137</v>
      </c>
      <c r="N326" s="468" t="s">
        <v>3653</v>
      </c>
      <c r="O326" s="466">
        <v>10</v>
      </c>
      <c r="P326" s="523">
        <v>-23</v>
      </c>
      <c r="Q326" s="462">
        <v>1.0024305555555557E-3</v>
      </c>
      <c r="R326" s="463">
        <v>99</v>
      </c>
      <c r="S326" s="466" t="s">
        <v>625</v>
      </c>
      <c r="T326" s="524"/>
      <c r="W326" s="460"/>
      <c r="AY326" s="486">
        <f t="shared" ref="AY326:AY357" si="19">IF(S326="","",R326)</f>
        <v>99</v>
      </c>
      <c r="AZ326" s="487" t="str">
        <f t="shared" si="18"/>
        <v/>
      </c>
      <c r="CH326" s="459"/>
    </row>
    <row r="327" spans="1:90" s="469" customFormat="1" ht="12" customHeight="1" x14ac:dyDescent="0.15">
      <c r="A327" s="471" t="s">
        <v>4655</v>
      </c>
      <c r="B327" s="472">
        <v>42476</v>
      </c>
      <c r="C327" s="471" t="s">
        <v>4015</v>
      </c>
      <c r="D327" s="471" t="s">
        <v>4016</v>
      </c>
      <c r="E327" s="471" t="s">
        <v>3957</v>
      </c>
      <c r="F327" s="471" t="s">
        <v>3686</v>
      </c>
      <c r="G327" s="473">
        <v>12</v>
      </c>
      <c r="H327" s="474">
        <v>6.5</v>
      </c>
      <c r="I327" s="475"/>
      <c r="J327" s="475"/>
      <c r="K327" s="473">
        <v>14</v>
      </c>
      <c r="L327" s="485" t="s">
        <v>431</v>
      </c>
      <c r="M327" s="476">
        <v>12433</v>
      </c>
      <c r="N327" s="471" t="s">
        <v>4523</v>
      </c>
      <c r="O327" s="477" t="s">
        <v>431</v>
      </c>
      <c r="P327" s="478" t="s">
        <v>431</v>
      </c>
      <c r="Q327" s="479" t="s">
        <v>431</v>
      </c>
      <c r="R327" s="480" t="s">
        <v>431</v>
      </c>
      <c r="S327" s="477" t="s">
        <v>625</v>
      </c>
      <c r="T327" s="481" t="s">
        <v>4565</v>
      </c>
      <c r="U327" s="482"/>
      <c r="V327" s="482"/>
      <c r="W327" s="483"/>
      <c r="X327" s="482"/>
      <c r="Y327" s="482"/>
      <c r="Z327" s="482"/>
      <c r="AA327" s="482"/>
      <c r="AB327" s="482"/>
      <c r="AC327" s="482"/>
      <c r="AD327" s="482"/>
      <c r="AE327" s="482"/>
      <c r="AF327" s="482"/>
      <c r="AG327" s="482"/>
      <c r="AH327" s="482"/>
      <c r="AI327" s="482"/>
      <c r="AJ327" s="482"/>
      <c r="AK327" s="482"/>
      <c r="AL327" s="482"/>
      <c r="AM327" s="482"/>
      <c r="AN327" s="482"/>
      <c r="AO327" s="482"/>
      <c r="AP327" s="482"/>
      <c r="AQ327" s="482"/>
      <c r="AR327" s="482"/>
      <c r="AS327" s="482"/>
      <c r="AT327" s="482"/>
      <c r="AU327" s="482"/>
      <c r="AV327" s="482"/>
      <c r="AW327" s="482"/>
      <c r="AX327" s="482"/>
      <c r="AY327" s="486" t="str">
        <f t="shared" si="19"/>
        <v>--</v>
      </c>
      <c r="AZ327" s="487" t="str">
        <f t="shared" si="18"/>
        <v/>
      </c>
      <c r="BA327" s="482"/>
      <c r="BB327" s="482"/>
      <c r="BC327" s="482"/>
      <c r="BD327" s="482"/>
      <c r="BE327" s="482"/>
      <c r="BF327" s="482"/>
      <c r="BG327" s="482"/>
      <c r="BH327" s="482"/>
      <c r="BI327" s="482"/>
      <c r="BJ327" s="482"/>
      <c r="BK327" s="482"/>
      <c r="BL327" s="482"/>
      <c r="BM327" s="482"/>
      <c r="BN327" s="482"/>
      <c r="BO327" s="482"/>
      <c r="BP327" s="482"/>
      <c r="BQ327" s="482"/>
      <c r="BR327" s="482"/>
      <c r="BS327" s="482"/>
      <c r="BT327" s="482"/>
      <c r="BU327" s="482"/>
      <c r="BV327" s="482"/>
      <c r="BW327" s="482"/>
      <c r="BX327" s="482"/>
      <c r="BY327" s="482"/>
      <c r="BZ327" s="482"/>
      <c r="CA327" s="482"/>
      <c r="CB327" s="482"/>
      <c r="CC327" s="482"/>
      <c r="CD327" s="482"/>
      <c r="CE327" s="482"/>
      <c r="CF327" s="482"/>
      <c r="CG327" s="482"/>
      <c r="CH327" s="484"/>
    </row>
    <row r="328" spans="1:90" s="461" customFormat="1" ht="12" customHeight="1" x14ac:dyDescent="0.15">
      <c r="A328" s="522" t="s">
        <v>3821</v>
      </c>
      <c r="B328" s="467">
        <v>42476</v>
      </c>
      <c r="C328" s="468" t="s">
        <v>4521</v>
      </c>
      <c r="D328" s="468" t="s">
        <v>3823</v>
      </c>
      <c r="E328" s="468" t="s">
        <v>3959</v>
      </c>
      <c r="F328" s="468" t="s">
        <v>3686</v>
      </c>
      <c r="G328" s="466">
        <v>13</v>
      </c>
      <c r="H328" s="465">
        <v>6</v>
      </c>
      <c r="I328" s="466"/>
      <c r="J328" s="466" t="s">
        <v>4371</v>
      </c>
      <c r="K328" s="466">
        <v>12</v>
      </c>
      <c r="L328" s="464" t="s">
        <v>431</v>
      </c>
      <c r="M328" s="463">
        <v>6819</v>
      </c>
      <c r="N328" s="468" t="s">
        <v>3225</v>
      </c>
      <c r="O328" s="466">
        <v>6</v>
      </c>
      <c r="P328" s="523">
        <v>-11.75</v>
      </c>
      <c r="Q328" s="462">
        <v>8.4108796296296308E-4</v>
      </c>
      <c r="R328" s="463">
        <v>99</v>
      </c>
      <c r="S328" s="466" t="s">
        <v>625</v>
      </c>
      <c r="T328" s="524" t="s">
        <v>4522</v>
      </c>
      <c r="W328" s="460"/>
      <c r="AY328" s="486">
        <f t="shared" si="19"/>
        <v>99</v>
      </c>
      <c r="AZ328" s="487" t="str">
        <f t="shared" si="18"/>
        <v/>
      </c>
      <c r="CH328" s="459"/>
    </row>
    <row r="329" spans="1:90" s="469" customFormat="1" ht="12" customHeight="1" x14ac:dyDescent="0.15">
      <c r="A329" s="471" t="s">
        <v>1381</v>
      </c>
      <c r="B329" s="472">
        <v>42476</v>
      </c>
      <c r="C329" s="471" t="s">
        <v>4512</v>
      </c>
      <c r="D329" s="471" t="s">
        <v>4511</v>
      </c>
      <c r="E329" s="471" t="s">
        <v>4513</v>
      </c>
      <c r="F329" s="471" t="s">
        <v>2377</v>
      </c>
      <c r="G329" s="473">
        <v>9</v>
      </c>
      <c r="H329" s="474">
        <v>5</v>
      </c>
      <c r="I329" s="475"/>
      <c r="J329" s="475"/>
      <c r="K329" s="473">
        <v>10</v>
      </c>
      <c r="L329" s="485" t="s">
        <v>431</v>
      </c>
      <c r="M329" s="476">
        <v>6300</v>
      </c>
      <c r="N329" s="471" t="s">
        <v>197</v>
      </c>
      <c r="O329" s="477" t="s">
        <v>431</v>
      </c>
      <c r="P329" s="478" t="s">
        <v>431</v>
      </c>
      <c r="Q329" s="479" t="s">
        <v>431</v>
      </c>
      <c r="R329" s="480" t="s">
        <v>431</v>
      </c>
      <c r="S329" s="477"/>
      <c r="T329" s="481" t="s">
        <v>4540</v>
      </c>
      <c r="U329" s="482"/>
      <c r="V329" s="482"/>
      <c r="W329" s="483"/>
      <c r="X329" s="482"/>
      <c r="Y329" s="482"/>
      <c r="Z329" s="482"/>
      <c r="AA329" s="482"/>
      <c r="AB329" s="482"/>
      <c r="AC329" s="482"/>
      <c r="AD329" s="482"/>
      <c r="AE329" s="482"/>
      <c r="AF329" s="482"/>
      <c r="AG329" s="482"/>
      <c r="AH329" s="482"/>
      <c r="AI329" s="482"/>
      <c r="AJ329" s="482"/>
      <c r="AK329" s="482"/>
      <c r="AL329" s="482"/>
      <c r="AM329" s="482"/>
      <c r="AN329" s="482"/>
      <c r="AO329" s="482"/>
      <c r="AP329" s="482"/>
      <c r="AQ329" s="482"/>
      <c r="AR329" s="482"/>
      <c r="AS329" s="482"/>
      <c r="AT329" s="482"/>
      <c r="AU329" s="482"/>
      <c r="AV329" s="482"/>
      <c r="AW329" s="482"/>
      <c r="AX329" s="482"/>
      <c r="AY329" s="486" t="str">
        <f t="shared" si="19"/>
        <v/>
      </c>
      <c r="AZ329" s="487" t="str">
        <f t="shared" si="18"/>
        <v/>
      </c>
      <c r="BA329" s="482"/>
      <c r="BB329" s="482"/>
      <c r="BC329" s="482"/>
      <c r="BD329" s="482"/>
      <c r="BE329" s="482"/>
      <c r="BF329" s="482"/>
      <c r="BG329" s="482"/>
      <c r="BH329" s="482"/>
      <c r="BI329" s="482"/>
      <c r="BJ329" s="482"/>
      <c r="BK329" s="482"/>
      <c r="BL329" s="482"/>
      <c r="BM329" s="482"/>
      <c r="BN329" s="482"/>
      <c r="BO329" s="482"/>
      <c r="BP329" s="482"/>
      <c r="BQ329" s="482"/>
      <c r="BR329" s="482"/>
      <c r="BS329" s="482"/>
      <c r="BT329" s="482"/>
      <c r="BU329" s="482"/>
      <c r="BV329" s="482"/>
      <c r="BW329" s="482"/>
      <c r="BX329" s="482"/>
      <c r="BY329" s="482"/>
      <c r="BZ329" s="482"/>
      <c r="CA329" s="482"/>
      <c r="CB329" s="482"/>
      <c r="CC329" s="482"/>
      <c r="CD329" s="482"/>
      <c r="CE329" s="482"/>
      <c r="CF329" s="482"/>
      <c r="CG329" s="482"/>
      <c r="CH329" s="484"/>
    </row>
    <row r="330" spans="1:90" s="461" customFormat="1" ht="12" customHeight="1" x14ac:dyDescent="0.15">
      <c r="A330" s="522" t="s">
        <v>3183</v>
      </c>
      <c r="B330" s="467">
        <v>42477</v>
      </c>
      <c r="C330" s="468" t="s">
        <v>4027</v>
      </c>
      <c r="D330" s="468" t="s">
        <v>4028</v>
      </c>
      <c r="E330" s="468" t="s">
        <v>4029</v>
      </c>
      <c r="F330" s="468" t="s">
        <v>540</v>
      </c>
      <c r="G330" s="466">
        <v>4</v>
      </c>
      <c r="H330" s="465">
        <v>7.5</v>
      </c>
      <c r="I330" s="466" t="s">
        <v>3730</v>
      </c>
      <c r="J330" s="466"/>
      <c r="K330" s="466">
        <v>8</v>
      </c>
      <c r="L330" s="525">
        <v>10</v>
      </c>
      <c r="M330" s="463">
        <v>30000</v>
      </c>
      <c r="N330" s="468" t="s">
        <v>4544</v>
      </c>
      <c r="O330" s="466">
        <v>7</v>
      </c>
      <c r="P330" s="523">
        <v>-4.5</v>
      </c>
      <c r="Q330" s="462">
        <v>1.0314814814814815E-3</v>
      </c>
      <c r="R330" s="463">
        <v>300</v>
      </c>
      <c r="S330" s="466"/>
      <c r="T330" s="524" t="s">
        <v>3983</v>
      </c>
      <c r="W330" s="460"/>
      <c r="AY330" s="486" t="str">
        <f t="shared" si="19"/>
        <v/>
      </c>
      <c r="AZ330" s="487" t="str">
        <f t="shared" si="18"/>
        <v/>
      </c>
      <c r="CH330" s="459"/>
    </row>
    <row r="331" spans="1:90" s="469" customFormat="1" ht="12" customHeight="1" x14ac:dyDescent="0.15">
      <c r="A331" s="471" t="s">
        <v>4571</v>
      </c>
      <c r="B331" s="472">
        <v>42478</v>
      </c>
      <c r="C331" s="471" t="s">
        <v>3952</v>
      </c>
      <c r="D331" s="471" t="s">
        <v>3948</v>
      </c>
      <c r="E331" s="471" t="s">
        <v>1310</v>
      </c>
      <c r="F331" s="471" t="s">
        <v>3934</v>
      </c>
      <c r="G331" s="473">
        <v>2</v>
      </c>
      <c r="H331" s="474">
        <v>6.5</v>
      </c>
      <c r="I331" s="475"/>
      <c r="J331" s="475"/>
      <c r="K331" s="473">
        <v>9</v>
      </c>
      <c r="L331" s="485" t="s">
        <v>431</v>
      </c>
      <c r="M331" s="476">
        <v>1585</v>
      </c>
      <c r="N331" s="471" t="s">
        <v>3778</v>
      </c>
      <c r="O331" s="477" t="s">
        <v>431</v>
      </c>
      <c r="P331" s="478" t="s">
        <v>431</v>
      </c>
      <c r="Q331" s="479" t="s">
        <v>431</v>
      </c>
      <c r="R331" s="480" t="s">
        <v>431</v>
      </c>
      <c r="S331" s="477" t="s">
        <v>625</v>
      </c>
      <c r="T331" s="481" t="s">
        <v>4572</v>
      </c>
      <c r="U331" s="482"/>
      <c r="V331" s="482"/>
      <c r="W331" s="483"/>
      <c r="X331" s="482"/>
      <c r="Y331" s="482"/>
      <c r="Z331" s="482"/>
      <c r="AA331" s="482"/>
      <c r="AB331" s="482"/>
      <c r="AC331" s="482"/>
      <c r="AD331" s="482"/>
      <c r="AE331" s="482"/>
      <c r="AF331" s="482"/>
      <c r="AG331" s="482"/>
      <c r="AH331" s="482"/>
      <c r="AI331" s="482"/>
      <c r="AJ331" s="482"/>
      <c r="AK331" s="482"/>
      <c r="AL331" s="482"/>
      <c r="AM331" s="482"/>
      <c r="AN331" s="482"/>
      <c r="AO331" s="482"/>
      <c r="AP331" s="482"/>
      <c r="AQ331" s="482"/>
      <c r="AR331" s="482"/>
      <c r="AS331" s="482"/>
      <c r="AT331" s="482"/>
      <c r="AU331" s="482"/>
      <c r="AV331" s="482"/>
      <c r="AW331" s="482"/>
      <c r="AX331" s="482"/>
      <c r="AY331" s="486" t="str">
        <f t="shared" si="19"/>
        <v>--</v>
      </c>
      <c r="AZ331" s="487" t="str">
        <f t="shared" si="18"/>
        <v/>
      </c>
      <c r="BA331" s="482"/>
      <c r="BB331" s="482"/>
      <c r="BC331" s="482"/>
      <c r="BD331" s="482"/>
      <c r="BE331" s="482"/>
      <c r="BF331" s="482"/>
      <c r="BG331" s="482"/>
      <c r="BH331" s="482"/>
      <c r="BI331" s="482"/>
      <c r="BJ331" s="482"/>
      <c r="BK331" s="482"/>
      <c r="BL331" s="482"/>
      <c r="BM331" s="482"/>
      <c r="BN331" s="482"/>
      <c r="BO331" s="482"/>
      <c r="BP331" s="482"/>
      <c r="BQ331" s="482"/>
      <c r="BR331" s="482"/>
      <c r="BS331" s="482"/>
      <c r="BT331" s="482"/>
      <c r="BU331" s="482"/>
      <c r="BV331" s="482"/>
      <c r="BW331" s="482"/>
      <c r="BX331" s="482"/>
      <c r="BY331" s="482"/>
      <c r="BZ331" s="482"/>
      <c r="CA331" s="482"/>
      <c r="CB331" s="482"/>
      <c r="CC331" s="482"/>
      <c r="CD331" s="482"/>
      <c r="CE331" s="482"/>
      <c r="CF331" s="482"/>
      <c r="CG331" s="482"/>
      <c r="CH331" s="484"/>
    </row>
    <row r="332" spans="1:90" s="469" customFormat="1" ht="12" customHeight="1" x14ac:dyDescent="0.15">
      <c r="A332" s="444" t="s">
        <v>4003</v>
      </c>
      <c r="B332" s="445">
        <v>42478</v>
      </c>
      <c r="C332" s="446" t="s">
        <v>4004</v>
      </c>
      <c r="D332" s="446" t="s">
        <v>4005</v>
      </c>
      <c r="E332" s="446" t="s">
        <v>3698</v>
      </c>
      <c r="F332" s="446" t="s">
        <v>3685</v>
      </c>
      <c r="G332" s="447">
        <v>7</v>
      </c>
      <c r="H332" s="448">
        <v>5.5</v>
      </c>
      <c r="I332" s="447"/>
      <c r="J332" s="447" t="s">
        <v>960</v>
      </c>
      <c r="K332" s="447">
        <v>12</v>
      </c>
      <c r="L332" s="448" t="s">
        <v>431</v>
      </c>
      <c r="M332" s="450">
        <v>4603</v>
      </c>
      <c r="N332" s="446" t="s">
        <v>4006</v>
      </c>
      <c r="O332" s="447">
        <v>1</v>
      </c>
      <c r="P332" s="451">
        <v>4.5</v>
      </c>
      <c r="Q332" s="452">
        <v>8.0520833333333323E-4</v>
      </c>
      <c r="R332" s="450">
        <v>2718</v>
      </c>
      <c r="S332" s="447" t="s">
        <v>625</v>
      </c>
      <c r="T332" s="453" t="s">
        <v>4566</v>
      </c>
      <c r="U332" s="454"/>
      <c r="V332" s="454"/>
      <c r="W332" s="455"/>
      <c r="X332" s="454"/>
      <c r="Y332" s="454"/>
      <c r="Z332" s="454"/>
      <c r="AA332" s="454"/>
      <c r="AB332" s="454"/>
      <c r="AC332" s="454"/>
      <c r="AD332" s="454"/>
      <c r="AE332" s="454"/>
      <c r="AF332" s="454"/>
      <c r="AG332" s="454"/>
      <c r="AH332" s="454"/>
      <c r="AI332" s="454"/>
      <c r="AJ332" s="454"/>
      <c r="AK332" s="454"/>
      <c r="AL332" s="454"/>
      <c r="AM332" s="454"/>
      <c r="AN332" s="454"/>
      <c r="AO332" s="454"/>
      <c r="AP332" s="454"/>
      <c r="AQ332" s="454"/>
      <c r="AR332" s="454"/>
      <c r="AS332" s="454"/>
      <c r="AT332" s="454"/>
      <c r="AU332" s="454"/>
      <c r="AV332" s="454"/>
      <c r="AW332" s="454"/>
      <c r="AX332" s="454"/>
      <c r="AY332" s="486">
        <f t="shared" si="19"/>
        <v>2718</v>
      </c>
      <c r="AZ332" s="487">
        <f t="shared" si="18"/>
        <v>1</v>
      </c>
      <c r="BA332" s="454"/>
      <c r="BB332" s="454"/>
      <c r="BC332" s="454"/>
      <c r="BD332" s="454"/>
      <c r="BE332" s="454"/>
      <c r="BF332" s="454"/>
      <c r="BG332" s="454"/>
      <c r="BH332" s="454"/>
      <c r="BI332" s="454"/>
      <c r="BJ332" s="454"/>
      <c r="BK332" s="454"/>
      <c r="BL332" s="454"/>
      <c r="BM332" s="454"/>
      <c r="BN332" s="454"/>
      <c r="BO332" s="454"/>
      <c r="BP332" s="454"/>
      <c r="BQ332" s="454"/>
      <c r="BR332" s="454"/>
      <c r="BS332" s="454"/>
      <c r="BT332" s="454"/>
      <c r="BU332" s="454"/>
      <c r="BV332" s="454"/>
      <c r="BW332" s="454"/>
      <c r="BX332" s="454"/>
      <c r="BY332" s="454"/>
      <c r="BZ332" s="454"/>
      <c r="CA332" s="454"/>
      <c r="CB332" s="454"/>
      <c r="CC332" s="454"/>
      <c r="CD332" s="454"/>
      <c r="CE332" s="454"/>
      <c r="CF332" s="454"/>
      <c r="CG332" s="454"/>
      <c r="CH332" s="456"/>
      <c r="CI332" s="454"/>
      <c r="CJ332" s="454"/>
      <c r="CK332" s="454"/>
      <c r="CL332" s="454"/>
    </row>
    <row r="333" spans="1:90" s="461" customFormat="1" ht="12" customHeight="1" x14ac:dyDescent="0.15">
      <c r="A333" s="522" t="s">
        <v>3455</v>
      </c>
      <c r="B333" s="467">
        <v>42478</v>
      </c>
      <c r="C333" s="468" t="s">
        <v>4525</v>
      </c>
      <c r="D333" s="468" t="s">
        <v>4524</v>
      </c>
      <c r="E333" s="468" t="s">
        <v>4536</v>
      </c>
      <c r="F333" s="468" t="s">
        <v>3685</v>
      </c>
      <c r="G333" s="466">
        <v>11</v>
      </c>
      <c r="H333" s="465">
        <v>5.5</v>
      </c>
      <c r="I333" s="466"/>
      <c r="J333" s="466" t="s">
        <v>960</v>
      </c>
      <c r="K333" s="466">
        <v>14</v>
      </c>
      <c r="L333" s="464" t="s">
        <v>431</v>
      </c>
      <c r="M333" s="463">
        <v>5723</v>
      </c>
      <c r="N333" s="457" t="s">
        <v>3348</v>
      </c>
      <c r="O333" s="466">
        <v>7</v>
      </c>
      <c r="P333" s="523">
        <v>-12.25</v>
      </c>
      <c r="Q333" s="462">
        <v>7.7638888888888896E-4</v>
      </c>
      <c r="R333" s="463">
        <v>65</v>
      </c>
      <c r="S333" s="466" t="s">
        <v>625</v>
      </c>
      <c r="T333" s="524" t="s">
        <v>4567</v>
      </c>
      <c r="W333" s="460"/>
      <c r="AY333" s="486">
        <f t="shared" si="19"/>
        <v>65</v>
      </c>
      <c r="AZ333" s="487" t="str">
        <f t="shared" si="18"/>
        <v/>
      </c>
      <c r="CH333" s="459"/>
    </row>
    <row r="334" spans="1:90" s="461" customFormat="1" ht="12" customHeight="1" x14ac:dyDescent="0.15">
      <c r="A334" s="522" t="s">
        <v>1381</v>
      </c>
      <c r="B334" s="467">
        <v>42478</v>
      </c>
      <c r="C334" s="468" t="s">
        <v>4512</v>
      </c>
      <c r="D334" s="468" t="s">
        <v>4511</v>
      </c>
      <c r="E334" s="468" t="s">
        <v>4513</v>
      </c>
      <c r="F334" s="468" t="s">
        <v>2377</v>
      </c>
      <c r="G334" s="466">
        <v>3</v>
      </c>
      <c r="H334" s="465">
        <v>5</v>
      </c>
      <c r="I334" s="466"/>
      <c r="J334" s="466"/>
      <c r="K334" s="466">
        <v>10</v>
      </c>
      <c r="L334" s="525">
        <v>12</v>
      </c>
      <c r="M334" s="463">
        <v>6600</v>
      </c>
      <c r="N334" s="468" t="s">
        <v>197</v>
      </c>
      <c r="O334" s="466">
        <v>3</v>
      </c>
      <c r="P334" s="523">
        <v>-6.5</v>
      </c>
      <c r="Q334" s="462">
        <v>6.9872685185185185E-4</v>
      </c>
      <c r="R334" s="463">
        <v>660</v>
      </c>
      <c r="S334" s="466"/>
      <c r="T334" s="524"/>
      <c r="W334" s="460"/>
      <c r="AY334" s="486" t="str">
        <f t="shared" si="19"/>
        <v/>
      </c>
      <c r="AZ334" s="487" t="str">
        <f t="shared" si="18"/>
        <v/>
      </c>
      <c r="CH334" s="459"/>
    </row>
    <row r="335" spans="1:90" s="469" customFormat="1" ht="12" customHeight="1" x14ac:dyDescent="0.15">
      <c r="A335" s="471" t="s">
        <v>122</v>
      </c>
      <c r="B335" s="472">
        <v>42479</v>
      </c>
      <c r="C335" s="471" t="s">
        <v>4346</v>
      </c>
      <c r="D335" s="471" t="s">
        <v>4347</v>
      </c>
      <c r="E335" s="471" t="s">
        <v>3729</v>
      </c>
      <c r="F335" s="471" t="s">
        <v>4541</v>
      </c>
      <c r="G335" s="473">
        <v>8</v>
      </c>
      <c r="H335" s="474">
        <v>8</v>
      </c>
      <c r="I335" s="475"/>
      <c r="J335" s="475"/>
      <c r="K335" s="473">
        <v>9</v>
      </c>
      <c r="L335" s="458">
        <f>9/2</f>
        <v>4.5</v>
      </c>
      <c r="M335" s="476">
        <v>34000</v>
      </c>
      <c r="N335" s="471" t="s">
        <v>4542</v>
      </c>
      <c r="O335" s="477" t="s">
        <v>431</v>
      </c>
      <c r="P335" s="478" t="s">
        <v>431</v>
      </c>
      <c r="Q335" s="479" t="s">
        <v>431</v>
      </c>
      <c r="R335" s="480" t="s">
        <v>431</v>
      </c>
      <c r="S335" s="477"/>
      <c r="T335" s="481" t="s">
        <v>4573</v>
      </c>
      <c r="U335" s="482"/>
      <c r="V335" s="482"/>
      <c r="W335" s="483"/>
      <c r="X335" s="482"/>
      <c r="Y335" s="482"/>
      <c r="Z335" s="482"/>
      <c r="AA335" s="482"/>
      <c r="AB335" s="482"/>
      <c r="AC335" s="482"/>
      <c r="AD335" s="482"/>
      <c r="AE335" s="482"/>
      <c r="AF335" s="482"/>
      <c r="AG335" s="482"/>
      <c r="AH335" s="482"/>
      <c r="AI335" s="482"/>
      <c r="AJ335" s="482"/>
      <c r="AK335" s="482"/>
      <c r="AL335" s="482"/>
      <c r="AM335" s="482"/>
      <c r="AN335" s="482"/>
      <c r="AO335" s="482"/>
      <c r="AP335" s="482"/>
      <c r="AQ335" s="482"/>
      <c r="AR335" s="482"/>
      <c r="AS335" s="482"/>
      <c r="AT335" s="482"/>
      <c r="AU335" s="482"/>
      <c r="AV335" s="482"/>
      <c r="AW335" s="482"/>
      <c r="AX335" s="482"/>
      <c r="AY335" s="486" t="str">
        <f t="shared" si="19"/>
        <v/>
      </c>
      <c r="AZ335" s="487" t="str">
        <f t="shared" si="18"/>
        <v/>
      </c>
      <c r="BA335" s="482"/>
      <c r="BB335" s="482"/>
      <c r="BC335" s="482"/>
      <c r="BD335" s="482"/>
      <c r="BE335" s="482"/>
      <c r="BF335" s="482"/>
      <c r="BG335" s="482"/>
      <c r="BH335" s="482"/>
      <c r="BI335" s="482"/>
      <c r="BJ335" s="482"/>
      <c r="BK335" s="482"/>
      <c r="BL335" s="482"/>
      <c r="BM335" s="482"/>
      <c r="BN335" s="482"/>
      <c r="BO335" s="482"/>
      <c r="BP335" s="482"/>
      <c r="BQ335" s="482"/>
      <c r="BR335" s="482"/>
      <c r="BS335" s="482"/>
      <c r="BT335" s="482"/>
      <c r="BU335" s="482"/>
      <c r="BV335" s="482"/>
      <c r="BW335" s="482"/>
      <c r="BX335" s="482"/>
      <c r="BY335" s="482"/>
      <c r="BZ335" s="482"/>
      <c r="CA335" s="482"/>
      <c r="CB335" s="482"/>
      <c r="CC335" s="482"/>
      <c r="CD335" s="482"/>
      <c r="CE335" s="482"/>
      <c r="CF335" s="482"/>
      <c r="CG335" s="482"/>
      <c r="CH335" s="484"/>
    </row>
    <row r="336" spans="1:90" s="469" customFormat="1" ht="12" customHeight="1" x14ac:dyDescent="0.15">
      <c r="A336" s="444" t="s">
        <v>2127</v>
      </c>
      <c r="B336" s="445">
        <v>42481</v>
      </c>
      <c r="C336" s="446" t="s">
        <v>1838</v>
      </c>
      <c r="D336" s="446" t="s">
        <v>3842</v>
      </c>
      <c r="E336" s="446" t="s">
        <v>3843</v>
      </c>
      <c r="F336" s="446" t="s">
        <v>993</v>
      </c>
      <c r="G336" s="447">
        <v>4</v>
      </c>
      <c r="H336" s="448">
        <v>6.5</v>
      </c>
      <c r="I336" s="447"/>
      <c r="J336" s="447"/>
      <c r="K336" s="447">
        <v>6</v>
      </c>
      <c r="L336" s="449">
        <v>2</v>
      </c>
      <c r="M336" s="450">
        <v>10000</v>
      </c>
      <c r="N336" s="446" t="s">
        <v>4562</v>
      </c>
      <c r="O336" s="447">
        <v>1</v>
      </c>
      <c r="P336" s="451">
        <v>2</v>
      </c>
      <c r="Q336" s="452">
        <v>9.3368055555555554E-4</v>
      </c>
      <c r="R336" s="450">
        <v>6000</v>
      </c>
      <c r="S336" s="447"/>
      <c r="T336" s="453" t="s">
        <v>3755</v>
      </c>
      <c r="U336" s="454"/>
      <c r="V336" s="454"/>
      <c r="W336" s="455"/>
      <c r="X336" s="454"/>
      <c r="Y336" s="454"/>
      <c r="Z336" s="454"/>
      <c r="AA336" s="454"/>
      <c r="AB336" s="454"/>
      <c r="AC336" s="454"/>
      <c r="AD336" s="454"/>
      <c r="AE336" s="454"/>
      <c r="AF336" s="454"/>
      <c r="AG336" s="454"/>
      <c r="AH336" s="454"/>
      <c r="AI336" s="454"/>
      <c r="AJ336" s="454"/>
      <c r="AK336" s="454"/>
      <c r="AL336" s="454"/>
      <c r="AM336" s="454"/>
      <c r="AN336" s="454"/>
      <c r="AO336" s="454"/>
      <c r="AP336" s="454"/>
      <c r="AQ336" s="454"/>
      <c r="AR336" s="454"/>
      <c r="AS336" s="454"/>
      <c r="AT336" s="454"/>
      <c r="AU336" s="454"/>
      <c r="AV336" s="454"/>
      <c r="AW336" s="454"/>
      <c r="AX336" s="454"/>
      <c r="AY336" s="486" t="str">
        <f t="shared" si="19"/>
        <v/>
      </c>
      <c r="AZ336" s="487">
        <f t="shared" si="18"/>
        <v>1</v>
      </c>
      <c r="BA336" s="454"/>
      <c r="BB336" s="454"/>
      <c r="BC336" s="454"/>
      <c r="BD336" s="454"/>
      <c r="BE336" s="454"/>
      <c r="BF336" s="454"/>
      <c r="BG336" s="454"/>
      <c r="BH336" s="454"/>
      <c r="BI336" s="454"/>
      <c r="BJ336" s="454"/>
      <c r="BK336" s="454"/>
      <c r="BL336" s="454"/>
      <c r="BM336" s="454"/>
      <c r="BN336" s="454"/>
      <c r="BO336" s="454"/>
      <c r="BP336" s="454"/>
      <c r="BQ336" s="454"/>
      <c r="BR336" s="454"/>
      <c r="BS336" s="454"/>
      <c r="BT336" s="454"/>
      <c r="BU336" s="454"/>
      <c r="BV336" s="454"/>
      <c r="BW336" s="454"/>
      <c r="BX336" s="454"/>
      <c r="BY336" s="454"/>
      <c r="BZ336" s="454"/>
      <c r="CA336" s="454"/>
      <c r="CB336" s="454"/>
      <c r="CC336" s="454"/>
      <c r="CD336" s="454"/>
      <c r="CE336" s="454"/>
      <c r="CF336" s="454"/>
      <c r="CG336" s="454"/>
      <c r="CH336" s="456"/>
      <c r="CI336" s="454"/>
      <c r="CJ336" s="454"/>
      <c r="CK336" s="454"/>
      <c r="CL336" s="454"/>
    </row>
    <row r="337" spans="1:90" s="461" customFormat="1" ht="12" customHeight="1" x14ac:dyDescent="0.15">
      <c r="A337" s="522" t="s">
        <v>36</v>
      </c>
      <c r="B337" s="467">
        <v>42481</v>
      </c>
      <c r="C337" s="468" t="s">
        <v>4563</v>
      </c>
      <c r="D337" s="468" t="s">
        <v>4564</v>
      </c>
      <c r="E337" s="468" t="s">
        <v>4575</v>
      </c>
      <c r="F337" s="468" t="s">
        <v>4574</v>
      </c>
      <c r="G337" s="466">
        <v>6</v>
      </c>
      <c r="H337" s="465">
        <v>6</v>
      </c>
      <c r="I337" s="466"/>
      <c r="J337" s="466"/>
      <c r="K337" s="466">
        <v>9</v>
      </c>
      <c r="L337" s="525">
        <v>4</v>
      </c>
      <c r="M337" s="463">
        <v>22000</v>
      </c>
      <c r="N337" s="468" t="s">
        <v>4576</v>
      </c>
      <c r="O337" s="466">
        <v>3</v>
      </c>
      <c r="P337" s="523">
        <v>-3</v>
      </c>
      <c r="Q337" s="462">
        <v>8.3055555555555563E-4</v>
      </c>
      <c r="R337" s="463">
        <v>2376</v>
      </c>
      <c r="S337" s="466"/>
      <c r="T337" s="524"/>
      <c r="W337" s="460"/>
      <c r="AY337" s="486" t="str">
        <f t="shared" si="19"/>
        <v/>
      </c>
      <c r="AZ337" s="487" t="str">
        <f t="shared" si="18"/>
        <v/>
      </c>
      <c r="CH337" s="459"/>
    </row>
    <row r="338" spans="1:90" s="461" customFormat="1" ht="12" customHeight="1" x14ac:dyDescent="0.15">
      <c r="A338" s="522" t="s">
        <v>3777</v>
      </c>
      <c r="B338" s="467">
        <v>42482</v>
      </c>
      <c r="C338" s="468" t="s">
        <v>3781</v>
      </c>
      <c r="D338" s="468" t="s">
        <v>3779</v>
      </c>
      <c r="E338" s="468" t="s">
        <v>3966</v>
      </c>
      <c r="F338" s="468" t="s">
        <v>3775</v>
      </c>
      <c r="G338" s="466">
        <v>4</v>
      </c>
      <c r="H338" s="465">
        <v>5.5</v>
      </c>
      <c r="I338" s="466" t="s">
        <v>1360</v>
      </c>
      <c r="J338" s="466"/>
      <c r="K338" s="466">
        <v>12</v>
      </c>
      <c r="L338" s="464" t="s">
        <v>431</v>
      </c>
      <c r="M338" s="463">
        <v>26037</v>
      </c>
      <c r="N338" s="468" t="s">
        <v>3778</v>
      </c>
      <c r="O338" s="466">
        <v>11</v>
      </c>
      <c r="P338" s="523">
        <v>-8</v>
      </c>
      <c r="Q338" s="462">
        <v>7.693287037037036E-4</v>
      </c>
      <c r="R338" s="463">
        <v>0</v>
      </c>
      <c r="S338" s="466" t="s">
        <v>625</v>
      </c>
      <c r="T338" s="524"/>
      <c r="W338" s="460"/>
      <c r="AY338" s="486">
        <f t="shared" si="19"/>
        <v>0</v>
      </c>
      <c r="AZ338" s="487" t="str">
        <f t="shared" si="18"/>
        <v/>
      </c>
      <c r="CH338" s="459"/>
    </row>
    <row r="339" spans="1:90" s="461" customFormat="1" ht="12" customHeight="1" x14ac:dyDescent="0.15">
      <c r="A339" s="522" t="s">
        <v>2459</v>
      </c>
      <c r="B339" s="467">
        <v>42482</v>
      </c>
      <c r="C339" s="468" t="s">
        <v>3293</v>
      </c>
      <c r="D339" s="468" t="s">
        <v>3294</v>
      </c>
      <c r="E339" s="468" t="s">
        <v>4308</v>
      </c>
      <c r="F339" s="468" t="s">
        <v>788</v>
      </c>
      <c r="G339" s="466">
        <v>5</v>
      </c>
      <c r="H339" s="465">
        <v>6</v>
      </c>
      <c r="I339" s="466"/>
      <c r="J339" s="466"/>
      <c r="K339" s="466">
        <v>7</v>
      </c>
      <c r="L339" s="525">
        <v>12</v>
      </c>
      <c r="M339" s="463">
        <v>42000</v>
      </c>
      <c r="N339" s="468" t="s">
        <v>4577</v>
      </c>
      <c r="O339" s="466">
        <v>6</v>
      </c>
      <c r="P339" s="523">
        <v>-6.75</v>
      </c>
      <c r="Q339" s="462">
        <v>8.331018518518518E-4</v>
      </c>
      <c r="R339" s="463">
        <v>840</v>
      </c>
      <c r="S339" s="466"/>
      <c r="T339" s="524"/>
      <c r="W339" s="460"/>
      <c r="AY339" s="486" t="str">
        <f t="shared" si="19"/>
        <v/>
      </c>
      <c r="AZ339" s="487" t="str">
        <f t="shared" si="18"/>
        <v/>
      </c>
      <c r="CH339" s="459"/>
    </row>
    <row r="340" spans="1:90" s="461" customFormat="1" ht="12" customHeight="1" x14ac:dyDescent="0.15">
      <c r="A340" s="522" t="s">
        <v>2228</v>
      </c>
      <c r="B340" s="467">
        <v>42482</v>
      </c>
      <c r="C340" s="468" t="s">
        <v>3866</v>
      </c>
      <c r="D340" s="468" t="s">
        <v>4491</v>
      </c>
      <c r="E340" s="468" t="s">
        <v>4492</v>
      </c>
      <c r="F340" s="468" t="s">
        <v>993</v>
      </c>
      <c r="G340" s="466">
        <v>3</v>
      </c>
      <c r="H340" s="465">
        <v>4.5</v>
      </c>
      <c r="I340" s="466"/>
      <c r="J340" s="466"/>
      <c r="K340" s="466">
        <v>9</v>
      </c>
      <c r="L340" s="525">
        <v>10</v>
      </c>
      <c r="M340" s="463">
        <v>12500</v>
      </c>
      <c r="N340" s="468" t="s">
        <v>4580</v>
      </c>
      <c r="O340" s="466">
        <v>5</v>
      </c>
      <c r="P340" s="523">
        <v>-4.5</v>
      </c>
      <c r="Q340" s="462">
        <v>6.2511574074074075E-4</v>
      </c>
      <c r="R340" s="463">
        <v>366</v>
      </c>
      <c r="S340" s="466"/>
      <c r="T340" s="524"/>
      <c r="W340" s="460"/>
      <c r="AY340" s="486" t="str">
        <f t="shared" si="19"/>
        <v/>
      </c>
      <c r="AZ340" s="487" t="str">
        <f t="shared" si="18"/>
        <v/>
      </c>
      <c r="CH340" s="459"/>
    </row>
    <row r="341" spans="1:90" s="461" customFormat="1" ht="12" customHeight="1" x14ac:dyDescent="0.15">
      <c r="A341" s="522" t="s">
        <v>4062</v>
      </c>
      <c r="B341" s="467">
        <v>42483</v>
      </c>
      <c r="C341" s="468" t="s">
        <v>2744</v>
      </c>
      <c r="D341" s="468" t="s">
        <v>3298</v>
      </c>
      <c r="E341" s="468" t="s">
        <v>3699</v>
      </c>
      <c r="F341" s="468" t="s">
        <v>3686</v>
      </c>
      <c r="G341" s="466">
        <v>2</v>
      </c>
      <c r="H341" s="465">
        <v>6.5</v>
      </c>
      <c r="I341" s="466"/>
      <c r="J341" s="466"/>
      <c r="K341" s="466">
        <v>9</v>
      </c>
      <c r="L341" s="525">
        <v>3</v>
      </c>
      <c r="M341" s="463">
        <v>6006</v>
      </c>
      <c r="N341" s="468" t="s">
        <v>3653</v>
      </c>
      <c r="O341" s="466">
        <v>2</v>
      </c>
      <c r="P341" s="555" t="s">
        <v>4111</v>
      </c>
      <c r="Q341" s="462">
        <v>8.9502314814814815E-4</v>
      </c>
      <c r="R341" s="463">
        <v>1260</v>
      </c>
      <c r="S341" s="466" t="s">
        <v>625</v>
      </c>
      <c r="T341" s="524" t="s">
        <v>3714</v>
      </c>
      <c r="W341" s="460"/>
      <c r="AY341" s="486">
        <f t="shared" si="19"/>
        <v>1260</v>
      </c>
      <c r="AZ341" s="487" t="str">
        <f t="shared" si="18"/>
        <v/>
      </c>
      <c r="CH341" s="459"/>
    </row>
    <row r="342" spans="1:90" s="461" customFormat="1" ht="12" customHeight="1" x14ac:dyDescent="0.15">
      <c r="A342" s="522" t="s">
        <v>3694</v>
      </c>
      <c r="B342" s="467">
        <v>42483</v>
      </c>
      <c r="C342" s="468" t="s">
        <v>3719</v>
      </c>
      <c r="D342" s="468" t="s">
        <v>3721</v>
      </c>
      <c r="E342" s="468" t="s">
        <v>4450</v>
      </c>
      <c r="F342" s="468" t="s">
        <v>993</v>
      </c>
      <c r="G342" s="466">
        <v>6</v>
      </c>
      <c r="H342" s="465">
        <v>4.5</v>
      </c>
      <c r="I342" s="466"/>
      <c r="J342" s="466"/>
      <c r="K342" s="466">
        <v>8</v>
      </c>
      <c r="L342" s="506">
        <v>15</v>
      </c>
      <c r="M342" s="463">
        <v>50000</v>
      </c>
      <c r="N342" s="468" t="s">
        <v>4587</v>
      </c>
      <c r="O342" s="466">
        <v>6</v>
      </c>
      <c r="P342" s="523">
        <v>-8.5</v>
      </c>
      <c r="Q342" s="462">
        <v>5.9976851851851847E-4</v>
      </c>
      <c r="R342" s="463">
        <v>0</v>
      </c>
      <c r="S342" s="466"/>
      <c r="T342" s="524"/>
      <c r="W342" s="460"/>
      <c r="AY342" s="486" t="str">
        <f t="shared" si="19"/>
        <v/>
      </c>
      <c r="AZ342" s="487" t="str">
        <f t="shared" si="18"/>
        <v/>
      </c>
      <c r="CH342" s="459"/>
    </row>
    <row r="343" spans="1:90" s="461" customFormat="1" ht="12" customHeight="1" x14ac:dyDescent="0.15">
      <c r="A343" s="522" t="s">
        <v>3263</v>
      </c>
      <c r="B343" s="467">
        <v>42483</v>
      </c>
      <c r="C343" s="468" t="s">
        <v>3719</v>
      </c>
      <c r="D343" s="468" t="s">
        <v>3721</v>
      </c>
      <c r="E343" s="468" t="s">
        <v>3720</v>
      </c>
      <c r="F343" s="468" t="s">
        <v>993</v>
      </c>
      <c r="G343" s="466">
        <v>6</v>
      </c>
      <c r="H343" s="465">
        <v>4.5</v>
      </c>
      <c r="I343" s="466"/>
      <c r="J343" s="466"/>
      <c r="K343" s="466">
        <v>8</v>
      </c>
      <c r="L343" s="506">
        <v>10</v>
      </c>
      <c r="M343" s="463">
        <v>50000</v>
      </c>
      <c r="N343" s="468" t="s">
        <v>4587</v>
      </c>
      <c r="O343" s="466">
        <v>2</v>
      </c>
      <c r="P343" s="523">
        <v>-4</v>
      </c>
      <c r="Q343" s="462">
        <v>5.9976851851851847E-4</v>
      </c>
      <c r="R343" s="463">
        <v>10240</v>
      </c>
      <c r="S343" s="466"/>
      <c r="T343" s="524"/>
      <c r="W343" s="460"/>
      <c r="AY343" s="486" t="str">
        <f t="shared" si="19"/>
        <v/>
      </c>
      <c r="AZ343" s="487" t="str">
        <f t="shared" si="18"/>
        <v/>
      </c>
      <c r="CH343" s="459"/>
    </row>
    <row r="344" spans="1:90" s="461" customFormat="1" ht="12" customHeight="1" x14ac:dyDescent="0.15">
      <c r="A344" s="522" t="s">
        <v>2151</v>
      </c>
      <c r="B344" s="467">
        <v>42483</v>
      </c>
      <c r="C344" s="468" t="s">
        <v>3852</v>
      </c>
      <c r="D344" s="468" t="s">
        <v>3853</v>
      </c>
      <c r="E344" s="468" t="s">
        <v>4256</v>
      </c>
      <c r="F344" s="468" t="s">
        <v>4171</v>
      </c>
      <c r="G344" s="466">
        <v>6</v>
      </c>
      <c r="H344" s="465">
        <v>8.3000000000000007</v>
      </c>
      <c r="I344" s="466"/>
      <c r="J344" s="466"/>
      <c r="K344" s="466">
        <v>8</v>
      </c>
      <c r="L344" s="525">
        <v>3</v>
      </c>
      <c r="M344" s="463">
        <v>42000</v>
      </c>
      <c r="N344" s="468" t="s">
        <v>4578</v>
      </c>
      <c r="O344" s="466">
        <v>5</v>
      </c>
      <c r="P344" s="523">
        <v>-23.25</v>
      </c>
      <c r="Q344" s="462">
        <v>1.2047453703703706E-3</v>
      </c>
      <c r="R344" s="463">
        <v>1260</v>
      </c>
      <c r="S344" s="466"/>
      <c r="T344" s="524" t="s">
        <v>3755</v>
      </c>
      <c r="W344" s="460"/>
      <c r="AY344" s="486" t="str">
        <f t="shared" si="19"/>
        <v/>
      </c>
      <c r="AZ344" s="487" t="str">
        <f t="shared" si="18"/>
        <v/>
      </c>
      <c r="CH344" s="459"/>
    </row>
    <row r="345" spans="1:90" s="461" customFormat="1" ht="12" customHeight="1" x14ac:dyDescent="0.15">
      <c r="A345" s="522" t="s">
        <v>2164</v>
      </c>
      <c r="B345" s="467">
        <v>42483</v>
      </c>
      <c r="C345" s="468" t="s">
        <v>3701</v>
      </c>
      <c r="D345" s="468" t="s">
        <v>3702</v>
      </c>
      <c r="E345" s="468" t="s">
        <v>4589</v>
      </c>
      <c r="F345" s="468" t="s">
        <v>993</v>
      </c>
      <c r="G345" s="466">
        <v>7</v>
      </c>
      <c r="H345" s="465">
        <v>7</v>
      </c>
      <c r="I345" s="466"/>
      <c r="J345" s="466"/>
      <c r="K345" s="466">
        <v>8</v>
      </c>
      <c r="L345" s="506">
        <v>12</v>
      </c>
      <c r="M345" s="463">
        <v>35000</v>
      </c>
      <c r="N345" s="468" t="s">
        <v>4588</v>
      </c>
      <c r="O345" s="466">
        <v>5</v>
      </c>
      <c r="P345" s="523">
        <v>-5.5</v>
      </c>
      <c r="Q345" s="462">
        <v>9.8969907407407405E-4</v>
      </c>
      <c r="R345" s="463">
        <v>1047</v>
      </c>
      <c r="S345" s="466"/>
      <c r="T345" s="524"/>
      <c r="W345" s="460"/>
      <c r="AY345" s="486" t="str">
        <f t="shared" si="19"/>
        <v/>
      </c>
      <c r="AZ345" s="487" t="str">
        <f t="shared" si="18"/>
        <v/>
      </c>
      <c r="CH345" s="459"/>
    </row>
    <row r="346" spans="1:90" s="469" customFormat="1" ht="12" customHeight="1" x14ac:dyDescent="0.15">
      <c r="A346" s="471" t="s">
        <v>3182</v>
      </c>
      <c r="B346" s="472">
        <v>42483</v>
      </c>
      <c r="C346" s="471" t="s">
        <v>2013</v>
      </c>
      <c r="D346" s="471" t="s">
        <v>3705</v>
      </c>
      <c r="E346" s="471" t="s">
        <v>3786</v>
      </c>
      <c r="F346" s="471" t="s">
        <v>4171</v>
      </c>
      <c r="G346" s="473">
        <v>7</v>
      </c>
      <c r="H346" s="474">
        <v>7</v>
      </c>
      <c r="I346" s="475"/>
      <c r="J346" s="475"/>
      <c r="K346" s="473">
        <v>9</v>
      </c>
      <c r="L346" s="458">
        <v>6</v>
      </c>
      <c r="M346" s="476">
        <v>42000</v>
      </c>
      <c r="N346" s="471" t="s">
        <v>4578</v>
      </c>
      <c r="O346" s="477" t="s">
        <v>431</v>
      </c>
      <c r="P346" s="478" t="s">
        <v>431</v>
      </c>
      <c r="Q346" s="479" t="s">
        <v>431</v>
      </c>
      <c r="R346" s="480" t="s">
        <v>431</v>
      </c>
      <c r="S346" s="477"/>
      <c r="T346" s="481" t="s">
        <v>4573</v>
      </c>
      <c r="U346" s="482"/>
      <c r="V346" s="482"/>
      <c r="W346" s="483"/>
      <c r="X346" s="482"/>
      <c r="Y346" s="482"/>
      <c r="Z346" s="482"/>
      <c r="AA346" s="482"/>
      <c r="AB346" s="482"/>
      <c r="AC346" s="482"/>
      <c r="AD346" s="482"/>
      <c r="AE346" s="482"/>
      <c r="AF346" s="482"/>
      <c r="AG346" s="482"/>
      <c r="AH346" s="482"/>
      <c r="AI346" s="482"/>
      <c r="AJ346" s="482"/>
      <c r="AK346" s="482"/>
      <c r="AL346" s="482"/>
      <c r="AM346" s="482"/>
      <c r="AN346" s="482"/>
      <c r="AO346" s="482"/>
      <c r="AP346" s="482"/>
      <c r="AQ346" s="482"/>
      <c r="AR346" s="482"/>
      <c r="AS346" s="482"/>
      <c r="AT346" s="482"/>
      <c r="AU346" s="482"/>
      <c r="AV346" s="482"/>
      <c r="AW346" s="482"/>
      <c r="AX346" s="482"/>
      <c r="AY346" s="486" t="str">
        <f t="shared" si="19"/>
        <v/>
      </c>
      <c r="AZ346" s="487" t="str">
        <f t="shared" si="18"/>
        <v/>
      </c>
      <c r="BA346" s="482"/>
      <c r="BB346" s="482"/>
      <c r="BC346" s="482"/>
      <c r="BD346" s="482"/>
      <c r="BE346" s="482"/>
      <c r="BF346" s="482"/>
      <c r="BG346" s="482"/>
      <c r="BH346" s="482"/>
      <c r="BI346" s="482"/>
      <c r="BJ346" s="482"/>
      <c r="BK346" s="482"/>
      <c r="BL346" s="482"/>
      <c r="BM346" s="482"/>
      <c r="BN346" s="482"/>
      <c r="BO346" s="482"/>
      <c r="BP346" s="482"/>
      <c r="BQ346" s="482"/>
      <c r="BR346" s="482"/>
      <c r="BS346" s="482"/>
      <c r="BT346" s="482"/>
      <c r="BU346" s="482"/>
      <c r="BV346" s="482"/>
      <c r="BW346" s="482"/>
      <c r="BX346" s="482"/>
      <c r="BY346" s="482"/>
      <c r="BZ346" s="482"/>
      <c r="CA346" s="482"/>
      <c r="CB346" s="482"/>
      <c r="CC346" s="482"/>
      <c r="CD346" s="482"/>
      <c r="CE346" s="482"/>
      <c r="CF346" s="482"/>
      <c r="CG346" s="482"/>
      <c r="CH346" s="484"/>
    </row>
    <row r="347" spans="1:90" s="461" customFormat="1" ht="12" customHeight="1" x14ac:dyDescent="0.15">
      <c r="A347" s="522" t="s">
        <v>3931</v>
      </c>
      <c r="B347" s="467">
        <v>42483</v>
      </c>
      <c r="C347" s="468" t="s">
        <v>3954</v>
      </c>
      <c r="D347" s="468" t="s">
        <v>3946</v>
      </c>
      <c r="E347" s="468" t="s">
        <v>3961</v>
      </c>
      <c r="F347" s="468" t="s">
        <v>3686</v>
      </c>
      <c r="G347" s="466">
        <v>6</v>
      </c>
      <c r="H347" s="466">
        <v>6.5</v>
      </c>
      <c r="I347" s="466"/>
      <c r="J347" s="466"/>
      <c r="K347" s="466">
        <v>9</v>
      </c>
      <c r="L347" s="506">
        <f>9/2</f>
        <v>4.5</v>
      </c>
      <c r="M347" s="463">
        <v>6000</v>
      </c>
      <c r="N347" s="468" t="s">
        <v>3653</v>
      </c>
      <c r="O347" s="466">
        <v>6</v>
      </c>
      <c r="P347" s="523">
        <v>-8.25</v>
      </c>
      <c r="Q347" s="462">
        <v>9.0104166666666674E-4</v>
      </c>
      <c r="R347" s="463">
        <v>99</v>
      </c>
      <c r="S347" s="466" t="s">
        <v>625</v>
      </c>
      <c r="T347" s="524"/>
      <c r="W347" s="460"/>
      <c r="AY347" s="486">
        <f t="shared" si="19"/>
        <v>99</v>
      </c>
      <c r="AZ347" s="487" t="str">
        <f t="shared" si="18"/>
        <v/>
      </c>
      <c r="CH347" s="459"/>
    </row>
    <row r="348" spans="1:90" s="469" customFormat="1" ht="12" customHeight="1" x14ac:dyDescent="0.15">
      <c r="A348" s="444" t="s">
        <v>2172</v>
      </c>
      <c r="B348" s="445">
        <v>42483</v>
      </c>
      <c r="C348" s="446" t="s">
        <v>3707</v>
      </c>
      <c r="D348" s="446" t="s">
        <v>3708</v>
      </c>
      <c r="E348" s="446" t="s">
        <v>4579</v>
      </c>
      <c r="F348" s="446" t="s">
        <v>4077</v>
      </c>
      <c r="G348" s="447">
        <v>5</v>
      </c>
      <c r="H348" s="448">
        <v>6</v>
      </c>
      <c r="I348" s="447"/>
      <c r="J348" s="447"/>
      <c r="K348" s="447">
        <v>9</v>
      </c>
      <c r="L348" s="449">
        <f>6/5</f>
        <v>1.2</v>
      </c>
      <c r="M348" s="450">
        <v>3000</v>
      </c>
      <c r="N348" s="446" t="s">
        <v>3381</v>
      </c>
      <c r="O348" s="447">
        <v>1</v>
      </c>
      <c r="P348" s="451">
        <v>5</v>
      </c>
      <c r="Q348" s="452"/>
      <c r="R348" s="450">
        <v>1800</v>
      </c>
      <c r="S348" s="447" t="s">
        <v>625</v>
      </c>
      <c r="T348" s="453" t="s">
        <v>3714</v>
      </c>
      <c r="U348" s="454"/>
      <c r="V348" s="454"/>
      <c r="W348" s="455"/>
      <c r="X348" s="454"/>
      <c r="Y348" s="454"/>
      <c r="Z348" s="454"/>
      <c r="AA348" s="454"/>
      <c r="AB348" s="454"/>
      <c r="AC348" s="454"/>
      <c r="AD348" s="454"/>
      <c r="AE348" s="454"/>
      <c r="AF348" s="454"/>
      <c r="AG348" s="454"/>
      <c r="AH348" s="454"/>
      <c r="AI348" s="454"/>
      <c r="AJ348" s="454"/>
      <c r="AK348" s="454"/>
      <c r="AL348" s="454"/>
      <c r="AM348" s="454"/>
      <c r="AN348" s="454"/>
      <c r="AO348" s="454"/>
      <c r="AP348" s="454"/>
      <c r="AQ348" s="454"/>
      <c r="AR348" s="454"/>
      <c r="AS348" s="454"/>
      <c r="AT348" s="454"/>
      <c r="AU348" s="454"/>
      <c r="AV348" s="454"/>
      <c r="AW348" s="454"/>
      <c r="AX348" s="454"/>
      <c r="AY348" s="486">
        <f t="shared" si="19"/>
        <v>1800</v>
      </c>
      <c r="AZ348" s="487">
        <f t="shared" si="18"/>
        <v>1</v>
      </c>
      <c r="BA348" s="454"/>
      <c r="BB348" s="454"/>
      <c r="BC348" s="454"/>
      <c r="BD348" s="454"/>
      <c r="BE348" s="454"/>
      <c r="BF348" s="454"/>
      <c r="BG348" s="454"/>
      <c r="BH348" s="454"/>
      <c r="BI348" s="454"/>
      <c r="BJ348" s="454"/>
      <c r="BK348" s="454"/>
      <c r="BL348" s="454"/>
      <c r="BM348" s="454"/>
      <c r="BN348" s="454"/>
      <c r="BO348" s="454"/>
      <c r="BP348" s="454"/>
      <c r="BQ348" s="454"/>
      <c r="BR348" s="454"/>
      <c r="BS348" s="454"/>
      <c r="BT348" s="454"/>
      <c r="BU348" s="454"/>
      <c r="BV348" s="454"/>
      <c r="BW348" s="454"/>
      <c r="BX348" s="454"/>
      <c r="BY348" s="454"/>
      <c r="BZ348" s="454"/>
      <c r="CA348" s="454"/>
      <c r="CB348" s="454"/>
      <c r="CC348" s="454"/>
      <c r="CD348" s="454"/>
      <c r="CE348" s="454"/>
      <c r="CF348" s="454"/>
      <c r="CG348" s="454"/>
      <c r="CH348" s="456"/>
      <c r="CI348" s="454"/>
      <c r="CJ348" s="454"/>
      <c r="CK348" s="454"/>
      <c r="CL348" s="454"/>
    </row>
    <row r="349" spans="1:90" s="469" customFormat="1" ht="12" customHeight="1" x14ac:dyDescent="0.15">
      <c r="A349" s="471" t="s">
        <v>2459</v>
      </c>
      <c r="B349" s="472">
        <v>42483</v>
      </c>
      <c r="C349" s="471" t="s">
        <v>3293</v>
      </c>
      <c r="D349" s="471" t="s">
        <v>3294</v>
      </c>
      <c r="E349" s="471" t="s">
        <v>3188</v>
      </c>
      <c r="F349" s="471" t="s">
        <v>993</v>
      </c>
      <c r="G349" s="473">
        <v>10</v>
      </c>
      <c r="H349" s="474">
        <v>7</v>
      </c>
      <c r="I349" s="475"/>
      <c r="J349" s="475"/>
      <c r="K349" s="473">
        <v>7</v>
      </c>
      <c r="L349" s="485" t="s">
        <v>431</v>
      </c>
      <c r="M349" s="476">
        <v>100000</v>
      </c>
      <c r="N349" s="471" t="s">
        <v>4515</v>
      </c>
      <c r="O349" s="477" t="s">
        <v>431</v>
      </c>
      <c r="P349" s="478" t="s">
        <v>431</v>
      </c>
      <c r="Q349" s="479" t="s">
        <v>431</v>
      </c>
      <c r="R349" s="480" t="s">
        <v>431</v>
      </c>
      <c r="S349" s="477"/>
      <c r="T349" s="481" t="s">
        <v>4585</v>
      </c>
      <c r="U349" s="482"/>
      <c r="V349" s="482"/>
      <c r="W349" s="483"/>
      <c r="X349" s="482"/>
      <c r="Y349" s="482"/>
      <c r="Z349" s="482"/>
      <c r="AA349" s="482"/>
      <c r="AB349" s="482"/>
      <c r="AC349" s="482"/>
      <c r="AD349" s="482"/>
      <c r="AE349" s="482"/>
      <c r="AF349" s="482"/>
      <c r="AG349" s="482"/>
      <c r="AH349" s="482"/>
      <c r="AI349" s="482"/>
      <c r="AJ349" s="482"/>
      <c r="AK349" s="482"/>
      <c r="AL349" s="482"/>
      <c r="AM349" s="482"/>
      <c r="AN349" s="482"/>
      <c r="AO349" s="482"/>
      <c r="AP349" s="482"/>
      <c r="AQ349" s="482"/>
      <c r="AR349" s="482"/>
      <c r="AS349" s="482"/>
      <c r="AT349" s="482"/>
      <c r="AU349" s="482"/>
      <c r="AV349" s="482"/>
      <c r="AW349" s="482"/>
      <c r="AX349" s="482"/>
      <c r="AY349" s="486" t="str">
        <f t="shared" si="19"/>
        <v/>
      </c>
      <c r="AZ349" s="487" t="str">
        <f t="shared" si="18"/>
        <v/>
      </c>
      <c r="BA349" s="482"/>
      <c r="BB349" s="482"/>
      <c r="BC349" s="482"/>
      <c r="BD349" s="482"/>
      <c r="BE349" s="482"/>
      <c r="BF349" s="482"/>
      <c r="BG349" s="482"/>
      <c r="BH349" s="482"/>
      <c r="BI349" s="482"/>
      <c r="BJ349" s="482"/>
      <c r="BK349" s="482"/>
      <c r="BL349" s="482"/>
      <c r="BM349" s="482"/>
      <c r="BN349" s="482"/>
      <c r="BO349" s="482"/>
      <c r="BP349" s="482"/>
      <c r="BQ349" s="482"/>
      <c r="BR349" s="482"/>
      <c r="BS349" s="482"/>
      <c r="BT349" s="482"/>
      <c r="BU349" s="482"/>
      <c r="BV349" s="482"/>
      <c r="BW349" s="482"/>
      <c r="BX349" s="482"/>
      <c r="BY349" s="482"/>
      <c r="BZ349" s="482"/>
      <c r="CA349" s="482"/>
      <c r="CB349" s="482"/>
      <c r="CC349" s="482"/>
      <c r="CD349" s="482"/>
      <c r="CE349" s="482"/>
      <c r="CF349" s="482"/>
      <c r="CG349" s="482"/>
      <c r="CH349" s="484"/>
    </row>
    <row r="350" spans="1:90" s="469" customFormat="1" ht="12" customHeight="1" x14ac:dyDescent="0.15">
      <c r="A350" s="471" t="s">
        <v>3263</v>
      </c>
      <c r="B350" s="472">
        <v>42483</v>
      </c>
      <c r="C350" s="471" t="s">
        <v>3719</v>
      </c>
      <c r="D350" s="471" t="s">
        <v>3721</v>
      </c>
      <c r="E350" s="471" t="s">
        <v>3188</v>
      </c>
      <c r="F350" s="471" t="s">
        <v>993</v>
      </c>
      <c r="G350" s="473">
        <v>10</v>
      </c>
      <c r="H350" s="474">
        <v>7</v>
      </c>
      <c r="I350" s="475"/>
      <c r="J350" s="475"/>
      <c r="K350" s="473">
        <v>7</v>
      </c>
      <c r="L350" s="485" t="s">
        <v>431</v>
      </c>
      <c r="M350" s="476">
        <v>100000</v>
      </c>
      <c r="N350" s="471" t="s">
        <v>4515</v>
      </c>
      <c r="O350" s="477" t="s">
        <v>431</v>
      </c>
      <c r="P350" s="478" t="s">
        <v>431</v>
      </c>
      <c r="Q350" s="479" t="s">
        <v>431</v>
      </c>
      <c r="R350" s="480" t="s">
        <v>431</v>
      </c>
      <c r="S350" s="477"/>
      <c r="T350" s="481" t="s">
        <v>4586</v>
      </c>
      <c r="U350" s="482"/>
      <c r="V350" s="482"/>
      <c r="W350" s="483"/>
      <c r="X350" s="482"/>
      <c r="Y350" s="482"/>
      <c r="Z350" s="482"/>
      <c r="AA350" s="482"/>
      <c r="AB350" s="482"/>
      <c r="AC350" s="482"/>
      <c r="AD350" s="482"/>
      <c r="AE350" s="482"/>
      <c r="AF350" s="482"/>
      <c r="AG350" s="482"/>
      <c r="AH350" s="482"/>
      <c r="AI350" s="482"/>
      <c r="AJ350" s="482"/>
      <c r="AK350" s="482"/>
      <c r="AL350" s="482"/>
      <c r="AM350" s="482"/>
      <c r="AN350" s="482"/>
      <c r="AO350" s="482"/>
      <c r="AP350" s="482"/>
      <c r="AQ350" s="482"/>
      <c r="AR350" s="482"/>
      <c r="AS350" s="482"/>
      <c r="AT350" s="482"/>
      <c r="AU350" s="482"/>
      <c r="AV350" s="482"/>
      <c r="AW350" s="482"/>
      <c r="AX350" s="482"/>
      <c r="AY350" s="486" t="str">
        <f t="shared" si="19"/>
        <v/>
      </c>
      <c r="AZ350" s="487" t="str">
        <f t="shared" si="18"/>
        <v/>
      </c>
      <c r="BA350" s="482"/>
      <c r="BB350" s="482"/>
      <c r="BC350" s="482"/>
      <c r="BD350" s="482"/>
      <c r="BE350" s="482"/>
      <c r="BF350" s="482"/>
      <c r="BG350" s="482"/>
      <c r="BH350" s="482"/>
      <c r="BI350" s="482"/>
      <c r="BJ350" s="482"/>
      <c r="BK350" s="482"/>
      <c r="BL350" s="482"/>
      <c r="BM350" s="482"/>
      <c r="BN350" s="482"/>
      <c r="BO350" s="482"/>
      <c r="BP350" s="482"/>
      <c r="BQ350" s="482"/>
      <c r="BR350" s="482"/>
      <c r="BS350" s="482"/>
      <c r="BT350" s="482"/>
      <c r="BU350" s="482"/>
      <c r="BV350" s="482"/>
      <c r="BW350" s="482"/>
      <c r="BX350" s="482"/>
      <c r="BY350" s="482"/>
      <c r="BZ350" s="482"/>
      <c r="CA350" s="482"/>
      <c r="CB350" s="482"/>
      <c r="CC350" s="482"/>
      <c r="CD350" s="482"/>
      <c r="CE350" s="482"/>
      <c r="CF350" s="482"/>
      <c r="CG350" s="482"/>
      <c r="CH350" s="484"/>
    </row>
    <row r="351" spans="1:90" s="469" customFormat="1" ht="12" customHeight="1" x14ac:dyDescent="0.15">
      <c r="A351" s="444" t="s">
        <v>3941</v>
      </c>
      <c r="B351" s="445">
        <v>42483</v>
      </c>
      <c r="C351" s="446" t="s">
        <v>2744</v>
      </c>
      <c r="D351" s="446" t="s">
        <v>3832</v>
      </c>
      <c r="E351" s="446" t="s">
        <v>4299</v>
      </c>
      <c r="F351" s="446" t="s">
        <v>3686</v>
      </c>
      <c r="G351" s="447">
        <v>9</v>
      </c>
      <c r="H351" s="448">
        <v>5.5</v>
      </c>
      <c r="I351" s="447"/>
      <c r="J351" s="447"/>
      <c r="K351" s="447">
        <v>13</v>
      </c>
      <c r="L351" s="449">
        <v>3</v>
      </c>
      <c r="M351" s="450">
        <v>6673</v>
      </c>
      <c r="N351" s="446" t="s">
        <v>3225</v>
      </c>
      <c r="O351" s="447">
        <v>1</v>
      </c>
      <c r="P351" s="451">
        <v>1.25</v>
      </c>
      <c r="Q351" s="452">
        <v>7.5000000000000012E-4</v>
      </c>
      <c r="R351" s="450">
        <v>4001</v>
      </c>
      <c r="S351" s="447" t="s">
        <v>625</v>
      </c>
      <c r="T351" s="453" t="s">
        <v>4618</v>
      </c>
      <c r="U351" s="454"/>
      <c r="V351" s="454"/>
      <c r="W351" s="455"/>
      <c r="X351" s="454"/>
      <c r="Y351" s="454"/>
      <c r="Z351" s="454"/>
      <c r="AA351" s="454"/>
      <c r="AB351" s="454"/>
      <c r="AC351" s="454"/>
      <c r="AD351" s="454"/>
      <c r="AE351" s="454"/>
      <c r="AF351" s="454"/>
      <c r="AG351" s="454"/>
      <c r="AH351" s="454"/>
      <c r="AI351" s="454"/>
      <c r="AJ351" s="454"/>
      <c r="AK351" s="454"/>
      <c r="AL351" s="454"/>
      <c r="AM351" s="454"/>
      <c r="AN351" s="454"/>
      <c r="AO351" s="454"/>
      <c r="AP351" s="454"/>
      <c r="AQ351" s="454"/>
      <c r="AR351" s="454"/>
      <c r="AS351" s="454"/>
      <c r="AT351" s="454"/>
      <c r="AU351" s="454"/>
      <c r="AV351" s="454"/>
      <c r="AW351" s="454"/>
      <c r="AX351" s="454"/>
      <c r="AY351" s="486">
        <f t="shared" si="19"/>
        <v>4001</v>
      </c>
      <c r="AZ351" s="487">
        <f t="shared" si="18"/>
        <v>1</v>
      </c>
      <c r="BA351" s="454"/>
      <c r="BB351" s="454"/>
      <c r="BC351" s="454"/>
      <c r="BD351" s="454"/>
      <c r="BE351" s="454"/>
      <c r="BF351" s="454"/>
      <c r="BG351" s="454"/>
      <c r="BH351" s="454"/>
      <c r="BI351" s="454"/>
      <c r="BJ351" s="454"/>
      <c r="BK351" s="454"/>
      <c r="BL351" s="454"/>
      <c r="BM351" s="454"/>
      <c r="BN351" s="454"/>
      <c r="BO351" s="454"/>
      <c r="BP351" s="454"/>
      <c r="BQ351" s="454"/>
      <c r="BR351" s="454"/>
      <c r="BS351" s="454"/>
      <c r="BT351" s="454"/>
      <c r="BU351" s="454"/>
      <c r="BV351" s="454"/>
      <c r="BW351" s="454"/>
      <c r="BX351" s="454"/>
      <c r="BY351" s="454"/>
      <c r="BZ351" s="454"/>
      <c r="CA351" s="454"/>
      <c r="CB351" s="454"/>
      <c r="CC351" s="454"/>
      <c r="CD351" s="454"/>
      <c r="CE351" s="454"/>
      <c r="CF351" s="454"/>
      <c r="CG351" s="454"/>
      <c r="CH351" s="456"/>
      <c r="CI351" s="454"/>
      <c r="CJ351" s="454"/>
      <c r="CK351" s="454"/>
      <c r="CL351" s="454"/>
    </row>
    <row r="352" spans="1:90" s="461" customFormat="1" ht="12" customHeight="1" x14ac:dyDescent="0.15">
      <c r="A352" s="522" t="s">
        <v>4583</v>
      </c>
      <c r="B352" s="467">
        <v>42483</v>
      </c>
      <c r="C352" s="468" t="s">
        <v>2744</v>
      </c>
      <c r="D352" s="468" t="s">
        <v>3832</v>
      </c>
      <c r="E352" s="468" t="s">
        <v>3846</v>
      </c>
      <c r="F352" s="468" t="s">
        <v>3686</v>
      </c>
      <c r="G352" s="466">
        <v>9</v>
      </c>
      <c r="H352" s="465">
        <v>5.5</v>
      </c>
      <c r="I352" s="466"/>
      <c r="J352" s="466"/>
      <c r="K352" s="466">
        <v>13</v>
      </c>
      <c r="L352" s="506">
        <v>3</v>
      </c>
      <c r="M352" s="463">
        <v>6673</v>
      </c>
      <c r="N352" s="468" t="s">
        <v>3225</v>
      </c>
      <c r="O352" s="466">
        <v>4</v>
      </c>
      <c r="P352" s="523">
        <v>-3.25</v>
      </c>
      <c r="Q352" s="462">
        <v>7.5000000000000012E-4</v>
      </c>
      <c r="R352" s="463">
        <v>400</v>
      </c>
      <c r="S352" s="466" t="s">
        <v>625</v>
      </c>
      <c r="T352" s="524" t="s">
        <v>4618</v>
      </c>
      <c r="W352" s="460"/>
      <c r="AY352" s="486">
        <f t="shared" si="19"/>
        <v>400</v>
      </c>
      <c r="AZ352" s="487" t="str">
        <f t="shared" si="18"/>
        <v/>
      </c>
      <c r="CH352" s="459"/>
    </row>
    <row r="353" spans="1:90" s="461" customFormat="1" ht="12" customHeight="1" x14ac:dyDescent="0.15">
      <c r="A353" s="522" t="s">
        <v>3838</v>
      </c>
      <c r="B353" s="467">
        <v>42483</v>
      </c>
      <c r="C353" s="468" t="s">
        <v>3841</v>
      </c>
      <c r="D353" s="468" t="s">
        <v>3837</v>
      </c>
      <c r="E353" s="468" t="s">
        <v>3848</v>
      </c>
      <c r="F353" s="468" t="s">
        <v>3686</v>
      </c>
      <c r="G353" s="466">
        <v>10</v>
      </c>
      <c r="H353" s="465">
        <v>8</v>
      </c>
      <c r="I353" s="466"/>
      <c r="J353" s="466"/>
      <c r="K353" s="466">
        <v>13</v>
      </c>
      <c r="L353" s="506">
        <v>4</v>
      </c>
      <c r="M353" s="463">
        <v>7245</v>
      </c>
      <c r="N353" s="468" t="s">
        <v>3653</v>
      </c>
      <c r="O353" s="466">
        <v>2</v>
      </c>
      <c r="P353" s="523">
        <v>-4</v>
      </c>
      <c r="Q353" s="462">
        <v>1.1211805555555556E-3</v>
      </c>
      <c r="R353" s="463">
        <v>1521</v>
      </c>
      <c r="S353" s="466" t="s">
        <v>625</v>
      </c>
      <c r="T353" s="524"/>
      <c r="W353" s="460"/>
      <c r="AY353" s="486">
        <f t="shared" si="19"/>
        <v>1521</v>
      </c>
      <c r="AZ353" s="487" t="str">
        <f t="shared" si="18"/>
        <v/>
      </c>
      <c r="CH353" s="459"/>
    </row>
    <row r="354" spans="1:90" s="461" customFormat="1" ht="12" customHeight="1" x14ac:dyDescent="0.15">
      <c r="A354" s="522" t="s">
        <v>4175</v>
      </c>
      <c r="B354" s="467">
        <v>42483</v>
      </c>
      <c r="C354" s="468" t="s">
        <v>2605</v>
      </c>
      <c r="D354" s="468" t="s">
        <v>4177</v>
      </c>
      <c r="E354" s="468" t="s">
        <v>4299</v>
      </c>
      <c r="F354" s="468" t="s">
        <v>3686</v>
      </c>
      <c r="G354" s="466">
        <v>10</v>
      </c>
      <c r="H354" s="465">
        <v>8</v>
      </c>
      <c r="I354" s="466"/>
      <c r="J354" s="466"/>
      <c r="K354" s="466">
        <v>13</v>
      </c>
      <c r="L354" s="506">
        <v>4</v>
      </c>
      <c r="M354" s="463">
        <v>7245</v>
      </c>
      <c r="N354" s="468" t="s">
        <v>3653</v>
      </c>
      <c r="O354" s="466">
        <v>7</v>
      </c>
      <c r="P354" s="523">
        <v>-13.25</v>
      </c>
      <c r="Q354" s="462">
        <v>1.1211805555555556E-3</v>
      </c>
      <c r="R354" s="463">
        <v>99</v>
      </c>
      <c r="S354" s="466" t="s">
        <v>625</v>
      </c>
      <c r="T354" s="524"/>
      <c r="W354" s="460"/>
      <c r="AY354" s="486">
        <f t="shared" si="19"/>
        <v>99</v>
      </c>
      <c r="AZ354" s="487" t="str">
        <f t="shared" si="18"/>
        <v/>
      </c>
      <c r="CH354" s="459"/>
    </row>
    <row r="355" spans="1:90" s="469" customFormat="1" ht="12" customHeight="1" x14ac:dyDescent="0.15">
      <c r="A355" s="471" t="s">
        <v>2176</v>
      </c>
      <c r="B355" s="472">
        <v>42483</v>
      </c>
      <c r="C355" s="471" t="s">
        <v>4594</v>
      </c>
      <c r="D355" s="471" t="s">
        <v>4595</v>
      </c>
      <c r="E355" s="471" t="s">
        <v>4596</v>
      </c>
      <c r="F355" s="471" t="s">
        <v>2376</v>
      </c>
      <c r="G355" s="473">
        <v>8</v>
      </c>
      <c r="H355" s="474">
        <v>6</v>
      </c>
      <c r="I355" s="475"/>
      <c r="J355" s="475"/>
      <c r="K355" s="473">
        <v>9</v>
      </c>
      <c r="L355" s="458">
        <f>9/2</f>
        <v>4.5</v>
      </c>
      <c r="M355" s="476">
        <v>10500</v>
      </c>
      <c r="N355" s="471" t="s">
        <v>4597</v>
      </c>
      <c r="O355" s="477" t="s">
        <v>431</v>
      </c>
      <c r="P355" s="478" t="s">
        <v>431</v>
      </c>
      <c r="Q355" s="479" t="s">
        <v>431</v>
      </c>
      <c r="R355" s="480" t="s">
        <v>431</v>
      </c>
      <c r="S355" s="477"/>
      <c r="T355" s="481"/>
      <c r="U355" s="482"/>
      <c r="V355" s="482"/>
      <c r="W355" s="483"/>
      <c r="X355" s="482"/>
      <c r="Y355" s="482"/>
      <c r="Z355" s="482"/>
      <c r="AA355" s="482"/>
      <c r="AB355" s="482"/>
      <c r="AC355" s="482"/>
      <c r="AD355" s="482"/>
      <c r="AE355" s="482"/>
      <c r="AF355" s="482"/>
      <c r="AG355" s="482"/>
      <c r="AH355" s="482"/>
      <c r="AI355" s="482"/>
      <c r="AJ355" s="482"/>
      <c r="AK355" s="482"/>
      <c r="AL355" s="482"/>
      <c r="AM355" s="482"/>
      <c r="AN355" s="482"/>
      <c r="AO355" s="482"/>
      <c r="AP355" s="482"/>
      <c r="AQ355" s="482"/>
      <c r="AR355" s="482"/>
      <c r="AS355" s="482"/>
      <c r="AT355" s="482"/>
      <c r="AU355" s="482"/>
      <c r="AV355" s="482"/>
      <c r="AW355" s="482"/>
      <c r="AX355" s="482"/>
      <c r="AY355" s="486" t="str">
        <f t="shared" si="19"/>
        <v/>
      </c>
      <c r="AZ355" s="487" t="str">
        <f t="shared" ref="AZ355:AZ386" si="20">IF(F355="Pleasant Meadows","",IF(L355="","",IF(O355="--","",IF(O355=1,1,""))))</f>
        <v/>
      </c>
      <c r="BA355" s="482"/>
      <c r="BB355" s="482"/>
      <c r="BC355" s="482"/>
      <c r="BD355" s="482"/>
      <c r="BE355" s="482"/>
      <c r="BF355" s="482"/>
      <c r="BG355" s="482"/>
      <c r="BH355" s="482"/>
      <c r="BI355" s="482"/>
      <c r="BJ355" s="482"/>
      <c r="BK355" s="482"/>
      <c r="BL355" s="482"/>
      <c r="BM355" s="482"/>
      <c r="BN355" s="482"/>
      <c r="BO355" s="482"/>
      <c r="BP355" s="482"/>
      <c r="BQ355" s="482"/>
      <c r="BR355" s="482"/>
      <c r="BS355" s="482"/>
      <c r="BT355" s="482"/>
      <c r="BU355" s="482"/>
      <c r="BV355" s="482"/>
      <c r="BW355" s="482"/>
      <c r="BX355" s="482"/>
      <c r="BY355" s="482"/>
      <c r="BZ355" s="482"/>
      <c r="CA355" s="482"/>
      <c r="CB355" s="482"/>
      <c r="CC355" s="482"/>
      <c r="CD355" s="482"/>
      <c r="CE355" s="482"/>
      <c r="CF355" s="482"/>
      <c r="CG355" s="482"/>
      <c r="CH355" s="484"/>
    </row>
    <row r="356" spans="1:90" s="461" customFormat="1" ht="12" customHeight="1" x14ac:dyDescent="0.15">
      <c r="A356" s="522" t="s">
        <v>1943</v>
      </c>
      <c r="B356" s="467">
        <v>42483</v>
      </c>
      <c r="C356" s="468" t="s">
        <v>3736</v>
      </c>
      <c r="D356" s="468" t="s">
        <v>3737</v>
      </c>
      <c r="E356" s="468" t="s">
        <v>4543</v>
      </c>
      <c r="F356" s="468" t="s">
        <v>4516</v>
      </c>
      <c r="G356" s="466">
        <v>9</v>
      </c>
      <c r="H356" s="465">
        <v>8.5</v>
      </c>
      <c r="I356" s="466" t="s">
        <v>3730</v>
      </c>
      <c r="J356" s="466" t="s">
        <v>3770</v>
      </c>
      <c r="K356" s="466">
        <v>9</v>
      </c>
      <c r="L356" s="525">
        <v>8</v>
      </c>
      <c r="M356" s="463">
        <v>60000</v>
      </c>
      <c r="N356" s="468" t="s">
        <v>4517</v>
      </c>
      <c r="O356" s="466">
        <v>3</v>
      </c>
      <c r="P356" s="523">
        <v>-3.25</v>
      </c>
      <c r="Q356" s="462">
        <v>1.2156250000000001E-3</v>
      </c>
      <c r="R356" s="463">
        <v>11400</v>
      </c>
      <c r="S356" s="466"/>
      <c r="T356" s="524"/>
      <c r="W356" s="460"/>
      <c r="AY356" s="486" t="str">
        <f t="shared" si="19"/>
        <v/>
      </c>
      <c r="AZ356" s="487" t="str">
        <f t="shared" si="20"/>
        <v/>
      </c>
      <c r="CH356" s="459"/>
    </row>
    <row r="357" spans="1:90" s="461" customFormat="1" ht="12" customHeight="1" x14ac:dyDescent="0.15">
      <c r="A357" s="522" t="s">
        <v>2170</v>
      </c>
      <c r="B357" s="467">
        <v>42484</v>
      </c>
      <c r="C357" s="468" t="s">
        <v>3908</v>
      </c>
      <c r="D357" s="468" t="s">
        <v>4300</v>
      </c>
      <c r="E357" s="468" t="s">
        <v>3280</v>
      </c>
      <c r="F357" s="468" t="s">
        <v>788</v>
      </c>
      <c r="G357" s="466">
        <v>4</v>
      </c>
      <c r="H357" s="465">
        <v>6</v>
      </c>
      <c r="I357" s="466"/>
      <c r="J357" s="466"/>
      <c r="K357" s="466">
        <v>8</v>
      </c>
      <c r="L357" s="525">
        <v>3</v>
      </c>
      <c r="M357" s="463">
        <v>30000</v>
      </c>
      <c r="N357" s="468" t="s">
        <v>4598</v>
      </c>
      <c r="O357" s="466">
        <v>4</v>
      </c>
      <c r="P357" s="523">
        <v>-1</v>
      </c>
      <c r="Q357" s="462">
        <v>8.3171296296296292E-4</v>
      </c>
      <c r="R357" s="463">
        <v>1800</v>
      </c>
      <c r="S357" s="466"/>
      <c r="T357" s="524" t="s">
        <v>4629</v>
      </c>
      <c r="W357" s="460"/>
      <c r="AY357" s="486" t="str">
        <f t="shared" si="19"/>
        <v/>
      </c>
      <c r="AZ357" s="487" t="str">
        <f t="shared" si="20"/>
        <v/>
      </c>
      <c r="CH357" s="459"/>
    </row>
    <row r="358" spans="1:90" s="461" customFormat="1" ht="12" customHeight="1" x14ac:dyDescent="0.15">
      <c r="A358" s="522" t="s">
        <v>2355</v>
      </c>
      <c r="B358" s="467">
        <v>42484</v>
      </c>
      <c r="C358" s="468" t="s">
        <v>4601</v>
      </c>
      <c r="D358" s="468" t="s">
        <v>4599</v>
      </c>
      <c r="E358" s="468" t="s">
        <v>4600</v>
      </c>
      <c r="F358" s="468" t="s">
        <v>788</v>
      </c>
      <c r="G358" s="466">
        <v>8</v>
      </c>
      <c r="H358" s="465">
        <v>5.5</v>
      </c>
      <c r="I358" s="466" t="s">
        <v>3730</v>
      </c>
      <c r="J358" s="466"/>
      <c r="K358" s="466">
        <v>9</v>
      </c>
      <c r="L358" s="525">
        <v>3</v>
      </c>
      <c r="M358" s="463">
        <v>47000</v>
      </c>
      <c r="N358" s="468" t="s">
        <v>4486</v>
      </c>
      <c r="O358" s="466">
        <v>5</v>
      </c>
      <c r="P358" s="523">
        <v>-2.25</v>
      </c>
      <c r="Q358" s="462">
        <v>7.2476851851851858E-4</v>
      </c>
      <c r="R358" s="463">
        <v>1410</v>
      </c>
      <c r="S358" s="466"/>
      <c r="T358" s="524" t="s">
        <v>4253</v>
      </c>
      <c r="W358" s="460"/>
      <c r="AY358" s="486" t="str">
        <f t="shared" ref="AY358:AY389" si="21">IF(S358="","",R358)</f>
        <v/>
      </c>
      <c r="AZ358" s="487" t="str">
        <f t="shared" si="20"/>
        <v/>
      </c>
      <c r="CH358" s="459"/>
    </row>
    <row r="359" spans="1:90" s="461" customFormat="1" ht="12" customHeight="1" x14ac:dyDescent="0.15">
      <c r="A359" s="522" t="s">
        <v>3310</v>
      </c>
      <c r="B359" s="467">
        <v>42484</v>
      </c>
      <c r="C359" s="468" t="s">
        <v>3311</v>
      </c>
      <c r="D359" s="468" t="s">
        <v>3485</v>
      </c>
      <c r="E359" s="468" t="s">
        <v>3695</v>
      </c>
      <c r="F359" s="468" t="s">
        <v>3685</v>
      </c>
      <c r="G359" s="466">
        <v>3</v>
      </c>
      <c r="H359" s="465">
        <v>10</v>
      </c>
      <c r="I359" s="466"/>
      <c r="J359" s="466"/>
      <c r="K359" s="466">
        <v>6</v>
      </c>
      <c r="L359" s="465" t="s">
        <v>431</v>
      </c>
      <c r="M359" s="463">
        <v>8056</v>
      </c>
      <c r="N359" s="468" t="s">
        <v>4582</v>
      </c>
      <c r="O359" s="466">
        <v>3</v>
      </c>
      <c r="P359" s="523">
        <v>-2.5</v>
      </c>
      <c r="Q359" s="462">
        <v>1.4474537037037036E-3</v>
      </c>
      <c r="R359" s="463">
        <v>1047</v>
      </c>
      <c r="S359" s="466" t="s">
        <v>625</v>
      </c>
      <c r="T359" s="524" t="s">
        <v>3755</v>
      </c>
      <c r="W359" s="460"/>
      <c r="AY359" s="486">
        <f t="shared" si="21"/>
        <v>1047</v>
      </c>
      <c r="AZ359" s="487" t="str">
        <f t="shared" si="20"/>
        <v/>
      </c>
      <c r="CH359" s="459"/>
    </row>
    <row r="360" spans="1:90" s="469" customFormat="1" ht="12" customHeight="1" x14ac:dyDescent="0.15">
      <c r="A360" s="444" t="s">
        <v>3178</v>
      </c>
      <c r="B360" s="445">
        <v>42486</v>
      </c>
      <c r="C360" s="446" t="s">
        <v>2268</v>
      </c>
      <c r="D360" s="446" t="s">
        <v>4224</v>
      </c>
      <c r="E360" s="446" t="s">
        <v>4628</v>
      </c>
      <c r="F360" s="446" t="s">
        <v>4171</v>
      </c>
      <c r="G360" s="447">
        <v>5</v>
      </c>
      <c r="H360" s="448">
        <v>8</v>
      </c>
      <c r="I360" s="447"/>
      <c r="J360" s="447"/>
      <c r="K360" s="447">
        <v>7</v>
      </c>
      <c r="L360" s="449">
        <f>8/5</f>
        <v>1.6</v>
      </c>
      <c r="M360" s="450">
        <v>50000</v>
      </c>
      <c r="N360" s="446" t="s">
        <v>3879</v>
      </c>
      <c r="O360" s="447">
        <v>1</v>
      </c>
      <c r="P360" s="451">
        <v>10.5</v>
      </c>
      <c r="Q360" s="452">
        <v>1.1938657407407408E-3</v>
      </c>
      <c r="R360" s="450">
        <v>42000</v>
      </c>
      <c r="S360" s="447"/>
      <c r="T360" s="453"/>
      <c r="U360" s="454"/>
      <c r="V360" s="454"/>
      <c r="W360" s="455"/>
      <c r="X360" s="454"/>
      <c r="Y360" s="454"/>
      <c r="Z360" s="454"/>
      <c r="AA360" s="454"/>
      <c r="AB360" s="454"/>
      <c r="AC360" s="454"/>
      <c r="AD360" s="454"/>
      <c r="AE360" s="454"/>
      <c r="AF360" s="454"/>
      <c r="AG360" s="454"/>
      <c r="AH360" s="454"/>
      <c r="AI360" s="454"/>
      <c r="AJ360" s="454"/>
      <c r="AK360" s="454"/>
      <c r="AL360" s="454"/>
      <c r="AM360" s="454"/>
      <c r="AN360" s="454"/>
      <c r="AO360" s="454"/>
      <c r="AP360" s="454"/>
      <c r="AQ360" s="454"/>
      <c r="AR360" s="454"/>
      <c r="AS360" s="454"/>
      <c r="AT360" s="454"/>
      <c r="AU360" s="454"/>
      <c r="AV360" s="454"/>
      <c r="AW360" s="454"/>
      <c r="AX360" s="454"/>
      <c r="AY360" s="486" t="str">
        <f t="shared" si="21"/>
        <v/>
      </c>
      <c r="AZ360" s="487">
        <f t="shared" si="20"/>
        <v>1</v>
      </c>
      <c r="BA360" s="454"/>
      <c r="BB360" s="454"/>
      <c r="BC360" s="454"/>
      <c r="BD360" s="454"/>
      <c r="BE360" s="454"/>
      <c r="BF360" s="454"/>
      <c r="BG360" s="454"/>
      <c r="BH360" s="454"/>
      <c r="BI360" s="454"/>
      <c r="BJ360" s="454"/>
      <c r="BK360" s="454"/>
      <c r="BL360" s="454"/>
      <c r="BM360" s="454"/>
      <c r="BN360" s="454"/>
      <c r="BO360" s="454"/>
      <c r="BP360" s="454"/>
      <c r="BQ360" s="454"/>
      <c r="BR360" s="454"/>
      <c r="BS360" s="454"/>
      <c r="BT360" s="454"/>
      <c r="BU360" s="454"/>
      <c r="BV360" s="454"/>
      <c r="BW360" s="454"/>
      <c r="BX360" s="454"/>
      <c r="BY360" s="454"/>
      <c r="BZ360" s="454"/>
      <c r="CA360" s="454"/>
      <c r="CB360" s="454"/>
      <c r="CC360" s="454"/>
      <c r="CD360" s="454"/>
      <c r="CE360" s="454"/>
      <c r="CF360" s="454"/>
      <c r="CG360" s="454"/>
      <c r="CH360" s="456"/>
      <c r="CI360" s="454"/>
      <c r="CJ360" s="454"/>
      <c r="CK360" s="454"/>
      <c r="CL360" s="454"/>
    </row>
    <row r="361" spans="1:90" s="461" customFormat="1" ht="12" customHeight="1" x14ac:dyDescent="0.15">
      <c r="A361" s="522" t="s">
        <v>3318</v>
      </c>
      <c r="B361" s="467">
        <v>42488</v>
      </c>
      <c r="C361" s="468" t="s">
        <v>4630</v>
      </c>
      <c r="D361" s="468" t="s">
        <v>4631</v>
      </c>
      <c r="E361" s="468" t="s">
        <v>4632</v>
      </c>
      <c r="F361" s="468" t="s">
        <v>866</v>
      </c>
      <c r="G361" s="466">
        <v>5</v>
      </c>
      <c r="H361" s="465">
        <v>4.5</v>
      </c>
      <c r="I361" s="466"/>
      <c r="J361" s="466"/>
      <c r="K361" s="466">
        <v>7</v>
      </c>
      <c r="L361" s="525">
        <v>20</v>
      </c>
      <c r="M361" s="463">
        <v>50000</v>
      </c>
      <c r="N361" s="468" t="s">
        <v>4633</v>
      </c>
      <c r="O361" s="466">
        <v>7</v>
      </c>
      <c r="P361" s="523">
        <v>-18.25</v>
      </c>
      <c r="Q361" s="462">
        <v>5.9224537037037036E-4</v>
      </c>
      <c r="R361" s="463">
        <v>410</v>
      </c>
      <c r="S361" s="466"/>
      <c r="T361" s="524" t="s">
        <v>4634</v>
      </c>
      <c r="W361" s="460"/>
      <c r="AY361" s="486" t="str">
        <f t="shared" si="21"/>
        <v/>
      </c>
      <c r="AZ361" s="487" t="str">
        <f t="shared" si="20"/>
        <v/>
      </c>
      <c r="CH361" s="459"/>
    </row>
    <row r="362" spans="1:90" s="461" customFormat="1" ht="12.75" customHeight="1" x14ac:dyDescent="0.15">
      <c r="A362" s="522" t="s">
        <v>122</v>
      </c>
      <c r="B362" s="467">
        <v>42489</v>
      </c>
      <c r="C362" s="468" t="s">
        <v>4346</v>
      </c>
      <c r="D362" s="468" t="s">
        <v>4347</v>
      </c>
      <c r="E362" s="468" t="s">
        <v>4649</v>
      </c>
      <c r="F362" s="468" t="s">
        <v>4454</v>
      </c>
      <c r="G362" s="466">
        <v>3</v>
      </c>
      <c r="H362" s="465">
        <v>6.5</v>
      </c>
      <c r="I362" s="466"/>
      <c r="J362" s="466"/>
      <c r="K362" s="466">
        <v>7</v>
      </c>
      <c r="L362" s="601">
        <v>5</v>
      </c>
      <c r="M362" s="463">
        <v>21000</v>
      </c>
      <c r="N362" s="468" t="s">
        <v>4650</v>
      </c>
      <c r="O362" s="466">
        <v>4</v>
      </c>
      <c r="P362" s="523">
        <v>-4</v>
      </c>
      <c r="Q362" s="462">
        <v>8.8773148148148153E-4</v>
      </c>
      <c r="R362" s="463">
        <v>1050</v>
      </c>
      <c r="S362" s="466"/>
      <c r="T362" s="524"/>
      <c r="W362" s="460"/>
      <c r="AY362" s="486" t="str">
        <f t="shared" si="21"/>
        <v/>
      </c>
      <c r="AZ362" s="487" t="str">
        <f t="shared" si="20"/>
        <v/>
      </c>
      <c r="CH362" s="459"/>
    </row>
    <row r="363" spans="1:90" s="461" customFormat="1" ht="12" customHeight="1" x14ac:dyDescent="0.15">
      <c r="A363" s="522" t="s">
        <v>4652</v>
      </c>
      <c r="B363" s="467">
        <v>42489</v>
      </c>
      <c r="C363" s="468" t="s">
        <v>4653</v>
      </c>
      <c r="D363" s="468" t="s">
        <v>4524</v>
      </c>
      <c r="E363" s="468" t="s">
        <v>4536</v>
      </c>
      <c r="F363" s="468" t="s">
        <v>3685</v>
      </c>
      <c r="G363" s="466">
        <v>4</v>
      </c>
      <c r="H363" s="465">
        <v>5</v>
      </c>
      <c r="I363" s="466"/>
      <c r="J363" s="466"/>
      <c r="K363" s="466">
        <v>10</v>
      </c>
      <c r="L363" s="465" t="s">
        <v>431</v>
      </c>
      <c r="M363" s="463">
        <v>2832</v>
      </c>
      <c r="N363" s="468" t="s">
        <v>3348</v>
      </c>
      <c r="O363" s="466">
        <v>2</v>
      </c>
      <c r="P363" s="523">
        <v>-0.25</v>
      </c>
      <c r="Q363" s="462">
        <v>7.9490740740740748E-4</v>
      </c>
      <c r="R363" s="463">
        <v>596</v>
      </c>
      <c r="S363" s="466" t="s">
        <v>625</v>
      </c>
      <c r="T363" s="524"/>
      <c r="W363" s="460"/>
      <c r="AY363" s="486">
        <f t="shared" si="21"/>
        <v>596</v>
      </c>
      <c r="AZ363" s="487" t="str">
        <f t="shared" si="20"/>
        <v/>
      </c>
      <c r="CH363" s="459"/>
    </row>
    <row r="364" spans="1:90" s="461" customFormat="1" ht="12" customHeight="1" x14ac:dyDescent="0.15">
      <c r="A364" s="522" t="s">
        <v>4654</v>
      </c>
      <c r="B364" s="467">
        <v>42489</v>
      </c>
      <c r="C364" s="468" t="s">
        <v>2605</v>
      </c>
      <c r="D364" s="468" t="s">
        <v>4177</v>
      </c>
      <c r="E364" s="468" t="s">
        <v>4299</v>
      </c>
      <c r="F364" s="468" t="s">
        <v>3685</v>
      </c>
      <c r="G364" s="466">
        <v>5</v>
      </c>
      <c r="H364" s="465">
        <v>5</v>
      </c>
      <c r="I364" s="466"/>
      <c r="J364" s="466"/>
      <c r="K364" s="466">
        <v>10</v>
      </c>
      <c r="L364" s="465" t="s">
        <v>431</v>
      </c>
      <c r="M364" s="463">
        <v>2832</v>
      </c>
      <c r="N364" s="468" t="s">
        <v>3348</v>
      </c>
      <c r="O364" s="466">
        <v>9</v>
      </c>
      <c r="P364" s="523">
        <v>-22.25</v>
      </c>
      <c r="Q364" s="462">
        <v>7.7199074074074062E-4</v>
      </c>
      <c r="R364" s="463">
        <v>65</v>
      </c>
      <c r="S364" s="466" t="s">
        <v>625</v>
      </c>
      <c r="T364" s="524"/>
      <c r="W364" s="460"/>
      <c r="AY364" s="486">
        <f t="shared" si="21"/>
        <v>65</v>
      </c>
      <c r="AZ364" s="487" t="str">
        <f t="shared" si="20"/>
        <v/>
      </c>
      <c r="CH364" s="459"/>
    </row>
    <row r="365" spans="1:90" s="469" customFormat="1" ht="12" customHeight="1" x14ac:dyDescent="0.15">
      <c r="A365" s="471" t="s">
        <v>2155</v>
      </c>
      <c r="B365" s="472">
        <v>42489</v>
      </c>
      <c r="C365" s="471" t="s">
        <v>1767</v>
      </c>
      <c r="D365" s="471" t="s">
        <v>3881</v>
      </c>
      <c r="E365" s="471" t="s">
        <v>3880</v>
      </c>
      <c r="F365" s="471" t="s">
        <v>788</v>
      </c>
      <c r="G365" s="473">
        <v>9</v>
      </c>
      <c r="H365" s="474">
        <v>8</v>
      </c>
      <c r="I365" s="475" t="s">
        <v>3730</v>
      </c>
      <c r="J365" s="475"/>
      <c r="K365" s="473">
        <v>12</v>
      </c>
      <c r="L365" s="458">
        <v>20</v>
      </c>
      <c r="M365" s="476">
        <v>45000</v>
      </c>
      <c r="N365" s="471" t="s">
        <v>4635</v>
      </c>
      <c r="O365" s="477" t="s">
        <v>431</v>
      </c>
      <c r="P365" s="478" t="s">
        <v>431</v>
      </c>
      <c r="Q365" s="479" t="s">
        <v>431</v>
      </c>
      <c r="R365" s="480" t="s">
        <v>431</v>
      </c>
      <c r="S365" s="477"/>
      <c r="T365" s="481" t="s">
        <v>3885</v>
      </c>
      <c r="U365" s="482"/>
      <c r="V365" s="482"/>
      <c r="W365" s="483"/>
      <c r="X365" s="482"/>
      <c r="Y365" s="482"/>
      <c r="Z365" s="482"/>
      <c r="AA365" s="482"/>
      <c r="AB365" s="482"/>
      <c r="AC365" s="482"/>
      <c r="AD365" s="482"/>
      <c r="AE365" s="482"/>
      <c r="AF365" s="482"/>
      <c r="AG365" s="482"/>
      <c r="AH365" s="482"/>
      <c r="AI365" s="482"/>
      <c r="AJ365" s="482"/>
      <c r="AK365" s="482"/>
      <c r="AL365" s="482"/>
      <c r="AM365" s="482"/>
      <c r="AN365" s="482"/>
      <c r="AO365" s="482"/>
      <c r="AP365" s="482"/>
      <c r="AQ365" s="482"/>
      <c r="AR365" s="482"/>
      <c r="AS365" s="482"/>
      <c r="AT365" s="482"/>
      <c r="AU365" s="482"/>
      <c r="AV365" s="482"/>
      <c r="AW365" s="482"/>
      <c r="AX365" s="482"/>
      <c r="AY365" s="486" t="str">
        <f t="shared" si="21"/>
        <v/>
      </c>
      <c r="AZ365" s="487" t="str">
        <f t="shared" si="20"/>
        <v/>
      </c>
      <c r="BA365" s="482"/>
      <c r="BB365" s="482"/>
      <c r="BC365" s="482"/>
      <c r="BD365" s="482"/>
      <c r="BE365" s="482"/>
      <c r="BF365" s="482"/>
      <c r="BG365" s="482"/>
      <c r="BH365" s="482"/>
      <c r="BI365" s="482"/>
      <c r="BJ365" s="482"/>
      <c r="BK365" s="482"/>
      <c r="BL365" s="482"/>
      <c r="BM365" s="482"/>
      <c r="BN365" s="482"/>
      <c r="BO365" s="482"/>
      <c r="BP365" s="482"/>
      <c r="BQ365" s="482"/>
      <c r="BR365" s="482"/>
      <c r="BS365" s="482"/>
      <c r="BT365" s="482"/>
      <c r="BU365" s="482"/>
      <c r="BV365" s="482"/>
      <c r="BW365" s="482"/>
      <c r="BX365" s="482"/>
      <c r="BY365" s="482"/>
      <c r="BZ365" s="482"/>
      <c r="CA365" s="482"/>
      <c r="CB365" s="482"/>
      <c r="CC365" s="482"/>
      <c r="CD365" s="482"/>
      <c r="CE365" s="482"/>
      <c r="CF365" s="482"/>
      <c r="CG365" s="482"/>
      <c r="CH365" s="484"/>
    </row>
    <row r="366" spans="1:90" s="461" customFormat="1" ht="12" customHeight="1" x14ac:dyDescent="0.15">
      <c r="A366" s="522" t="s">
        <v>4175</v>
      </c>
      <c r="B366" s="467">
        <v>42490</v>
      </c>
      <c r="C366" s="468" t="s">
        <v>2605</v>
      </c>
      <c r="D366" s="468" t="s">
        <v>4177</v>
      </c>
      <c r="E366" s="468" t="s">
        <v>5107</v>
      </c>
      <c r="F366" s="468" t="s">
        <v>3686</v>
      </c>
      <c r="G366" s="466">
        <v>3</v>
      </c>
      <c r="H366" s="465">
        <v>7.5</v>
      </c>
      <c r="I366" s="466"/>
      <c r="J366" s="466"/>
      <c r="K366" s="466">
        <v>9</v>
      </c>
      <c r="L366" s="465" t="s">
        <v>431</v>
      </c>
      <c r="M366" s="463">
        <v>6309</v>
      </c>
      <c r="N366" s="468" t="s">
        <v>3653</v>
      </c>
      <c r="O366" s="466">
        <v>4</v>
      </c>
      <c r="P366" s="523">
        <v>-5.25</v>
      </c>
      <c r="Q366" s="462">
        <v>1.0447916666666667E-3</v>
      </c>
      <c r="R366" s="463">
        <v>379</v>
      </c>
      <c r="S366" s="466" t="s">
        <v>625</v>
      </c>
      <c r="T366" s="524"/>
      <c r="W366" s="460"/>
      <c r="AY366" s="486">
        <f t="shared" si="21"/>
        <v>379</v>
      </c>
      <c r="AZ366" s="487" t="str">
        <f t="shared" si="20"/>
        <v/>
      </c>
      <c r="CH366" s="459"/>
    </row>
    <row r="367" spans="1:90" s="461" customFormat="1" ht="12" customHeight="1" x14ac:dyDescent="0.15">
      <c r="A367" s="522" t="s">
        <v>3426</v>
      </c>
      <c r="B367" s="467">
        <v>42490</v>
      </c>
      <c r="C367" s="468" t="s">
        <v>3655</v>
      </c>
      <c r="D367" s="468" t="s">
        <v>3298</v>
      </c>
      <c r="E367" s="468" t="s">
        <v>3699</v>
      </c>
      <c r="F367" s="468" t="s">
        <v>3686</v>
      </c>
      <c r="G367" s="466">
        <v>4</v>
      </c>
      <c r="H367" s="465">
        <v>7.5</v>
      </c>
      <c r="I367" s="466"/>
      <c r="J367" s="466"/>
      <c r="K367" s="466">
        <v>10</v>
      </c>
      <c r="L367" s="465" t="s">
        <v>431</v>
      </c>
      <c r="M367" s="463">
        <v>6309</v>
      </c>
      <c r="N367" s="468" t="s">
        <v>3653</v>
      </c>
      <c r="O367" s="466">
        <v>4</v>
      </c>
      <c r="P367" s="523">
        <v>-6.75</v>
      </c>
      <c r="Q367" s="462">
        <v>1.0523148148148147E-3</v>
      </c>
      <c r="R367" s="463">
        <v>379</v>
      </c>
      <c r="S367" s="466" t="s">
        <v>625</v>
      </c>
      <c r="T367" s="524"/>
      <c r="W367" s="460"/>
      <c r="AY367" s="486">
        <f t="shared" si="21"/>
        <v>379</v>
      </c>
      <c r="AZ367" s="487" t="str">
        <f t="shared" si="20"/>
        <v/>
      </c>
      <c r="CH367" s="459"/>
    </row>
    <row r="368" spans="1:90" s="461" customFormat="1" ht="12" customHeight="1" x14ac:dyDescent="0.15">
      <c r="A368" s="522" t="s">
        <v>4301</v>
      </c>
      <c r="B368" s="467">
        <v>42490</v>
      </c>
      <c r="C368" s="468" t="s">
        <v>2744</v>
      </c>
      <c r="D368" s="468" t="s">
        <v>3832</v>
      </c>
      <c r="E368" s="468" t="s">
        <v>3698</v>
      </c>
      <c r="F368" s="468" t="s">
        <v>3686</v>
      </c>
      <c r="G368" s="466">
        <v>6</v>
      </c>
      <c r="H368" s="465">
        <v>5.5</v>
      </c>
      <c r="I368" s="466"/>
      <c r="J368" s="466"/>
      <c r="K368" s="466">
        <v>11</v>
      </c>
      <c r="L368" s="465" t="s">
        <v>431</v>
      </c>
      <c r="M368" s="463">
        <v>8965</v>
      </c>
      <c r="N368" s="468" t="s">
        <v>3955</v>
      </c>
      <c r="O368" s="466">
        <v>5</v>
      </c>
      <c r="P368" s="523">
        <v>-6.5</v>
      </c>
      <c r="Q368" s="462">
        <v>7.5185185185185175E-4</v>
      </c>
      <c r="R368" s="463">
        <v>359</v>
      </c>
      <c r="S368" s="466" t="s">
        <v>625</v>
      </c>
      <c r="T368" s="524"/>
      <c r="W368" s="460"/>
      <c r="AY368" s="486">
        <f t="shared" si="21"/>
        <v>359</v>
      </c>
      <c r="AZ368" s="487" t="str">
        <f t="shared" si="20"/>
        <v/>
      </c>
      <c r="CH368" s="459"/>
    </row>
    <row r="369" spans="1:90" s="461" customFormat="1" ht="12" customHeight="1" x14ac:dyDescent="0.15">
      <c r="A369" s="522" t="s">
        <v>2218</v>
      </c>
      <c r="B369" s="467">
        <v>42490</v>
      </c>
      <c r="C369" s="468" t="s">
        <v>4663</v>
      </c>
      <c r="D369" s="468" t="s">
        <v>4664</v>
      </c>
      <c r="E369" s="468" t="s">
        <v>3878</v>
      </c>
      <c r="F369" s="468" t="s">
        <v>788</v>
      </c>
      <c r="G369" s="466">
        <v>4</v>
      </c>
      <c r="H369" s="465">
        <v>5.5</v>
      </c>
      <c r="I369" s="466" t="s">
        <v>3730</v>
      </c>
      <c r="J369" s="466"/>
      <c r="K369" s="466">
        <v>10</v>
      </c>
      <c r="L369" s="602">
        <v>15</v>
      </c>
      <c r="M369" s="463">
        <v>27000</v>
      </c>
      <c r="N369" s="468" t="s">
        <v>4665</v>
      </c>
      <c r="O369" s="466">
        <v>10</v>
      </c>
      <c r="P369" s="523">
        <v>-11.25</v>
      </c>
      <c r="Q369" s="462">
        <v>7.3530092592592581E-4</v>
      </c>
      <c r="R369" s="463">
        <v>0</v>
      </c>
      <c r="S369" s="466"/>
      <c r="T369" s="524"/>
      <c r="W369" s="460"/>
      <c r="AY369" s="486" t="str">
        <f t="shared" si="21"/>
        <v/>
      </c>
      <c r="AZ369" s="487" t="str">
        <f t="shared" si="20"/>
        <v/>
      </c>
      <c r="CH369" s="459"/>
    </row>
    <row r="370" spans="1:90" s="469" customFormat="1" ht="12" customHeight="1" x14ac:dyDescent="0.15">
      <c r="A370" s="444" t="s">
        <v>2227</v>
      </c>
      <c r="B370" s="445">
        <v>42490</v>
      </c>
      <c r="C370" s="446" t="s">
        <v>3756</v>
      </c>
      <c r="D370" s="446" t="s">
        <v>3757</v>
      </c>
      <c r="E370" s="446" t="s">
        <v>4349</v>
      </c>
      <c r="F370" s="446" t="s">
        <v>4171</v>
      </c>
      <c r="G370" s="447">
        <v>6</v>
      </c>
      <c r="H370" s="448">
        <v>6</v>
      </c>
      <c r="I370" s="447"/>
      <c r="J370" s="447"/>
      <c r="K370" s="447">
        <v>8</v>
      </c>
      <c r="L370" s="449">
        <v>2</v>
      </c>
      <c r="M370" s="450">
        <v>37000</v>
      </c>
      <c r="N370" s="446" t="s">
        <v>4636</v>
      </c>
      <c r="O370" s="447">
        <v>1</v>
      </c>
      <c r="P370" s="451">
        <v>1.25</v>
      </c>
      <c r="Q370" s="452">
        <v>8.4363425925925936E-4</v>
      </c>
      <c r="R370" s="450">
        <v>22200</v>
      </c>
      <c r="S370" s="447"/>
      <c r="T370" s="453" t="s">
        <v>3714</v>
      </c>
      <c r="U370" s="454"/>
      <c r="V370" s="454"/>
      <c r="W370" s="455"/>
      <c r="X370" s="454"/>
      <c r="Y370" s="454"/>
      <c r="Z370" s="454"/>
      <c r="AA370" s="454"/>
      <c r="AB370" s="454"/>
      <c r="AC370" s="454"/>
      <c r="AD370" s="454"/>
      <c r="AE370" s="454"/>
      <c r="AF370" s="454"/>
      <c r="AG370" s="454"/>
      <c r="AH370" s="454"/>
      <c r="AI370" s="454"/>
      <c r="AJ370" s="454"/>
      <c r="AK370" s="454"/>
      <c r="AL370" s="454"/>
      <c r="AM370" s="454"/>
      <c r="AN370" s="454"/>
      <c r="AO370" s="454"/>
      <c r="AP370" s="454"/>
      <c r="AQ370" s="454"/>
      <c r="AR370" s="454"/>
      <c r="AS370" s="454"/>
      <c r="AT370" s="454"/>
      <c r="AU370" s="454"/>
      <c r="AV370" s="454"/>
      <c r="AW370" s="454"/>
      <c r="AX370" s="454"/>
      <c r="AY370" s="486" t="str">
        <f t="shared" si="21"/>
        <v/>
      </c>
      <c r="AZ370" s="487">
        <f t="shared" si="20"/>
        <v>1</v>
      </c>
      <c r="BA370" s="454"/>
      <c r="BB370" s="454"/>
      <c r="BC370" s="454"/>
      <c r="BD370" s="454"/>
      <c r="BE370" s="454"/>
      <c r="BF370" s="454"/>
      <c r="BG370" s="454"/>
      <c r="BH370" s="454"/>
      <c r="BI370" s="454"/>
      <c r="BJ370" s="454"/>
      <c r="BK370" s="454"/>
      <c r="BL370" s="454"/>
      <c r="BM370" s="454"/>
      <c r="BN370" s="454"/>
      <c r="BO370" s="454"/>
      <c r="BP370" s="454"/>
      <c r="BQ370" s="454"/>
      <c r="BR370" s="454"/>
      <c r="BS370" s="454"/>
      <c r="BT370" s="454"/>
      <c r="BU370" s="454"/>
      <c r="BV370" s="454"/>
      <c r="BW370" s="454"/>
      <c r="BX370" s="454"/>
      <c r="BY370" s="454"/>
      <c r="BZ370" s="454"/>
      <c r="CA370" s="454"/>
      <c r="CB370" s="454"/>
      <c r="CC370" s="454"/>
      <c r="CD370" s="454"/>
      <c r="CE370" s="454"/>
      <c r="CF370" s="454"/>
      <c r="CG370" s="454"/>
      <c r="CH370" s="456"/>
      <c r="CI370" s="454"/>
      <c r="CJ370" s="454"/>
      <c r="CK370" s="454"/>
      <c r="CL370" s="454"/>
    </row>
    <row r="371" spans="1:90" s="461" customFormat="1" ht="12" customHeight="1" x14ac:dyDescent="0.15">
      <c r="A371" s="522" t="s">
        <v>4010</v>
      </c>
      <c r="B371" s="467">
        <v>42490</v>
      </c>
      <c r="C371" s="468" t="s">
        <v>4015</v>
      </c>
      <c r="D371" s="468" t="s">
        <v>4016</v>
      </c>
      <c r="E371" s="468" t="s">
        <v>3957</v>
      </c>
      <c r="F371" s="468" t="s">
        <v>3686</v>
      </c>
      <c r="G371" s="466">
        <v>14</v>
      </c>
      <c r="H371" s="465">
        <v>7</v>
      </c>
      <c r="I371" s="466"/>
      <c r="J371" s="466"/>
      <c r="K371" s="466">
        <v>14</v>
      </c>
      <c r="L371" s="465" t="s">
        <v>431</v>
      </c>
      <c r="M371" s="463">
        <v>7409</v>
      </c>
      <c r="N371" s="468" t="s">
        <v>3225</v>
      </c>
      <c r="O371" s="466">
        <v>9</v>
      </c>
      <c r="P371" s="523">
        <v>-5.75</v>
      </c>
      <c r="Q371" s="462">
        <v>8.2199074074074075E-4</v>
      </c>
      <c r="R371" s="463">
        <v>99</v>
      </c>
      <c r="S371" s="466" t="s">
        <v>625</v>
      </c>
      <c r="T371" s="524"/>
      <c r="W371" s="460"/>
      <c r="AY371" s="486">
        <f t="shared" si="21"/>
        <v>99</v>
      </c>
      <c r="AZ371" s="487" t="str">
        <f t="shared" si="20"/>
        <v/>
      </c>
      <c r="CH371" s="459"/>
    </row>
    <row r="372" spans="1:90" s="461" customFormat="1" ht="12" customHeight="1" x14ac:dyDescent="0.15">
      <c r="A372" s="522" t="s">
        <v>4430</v>
      </c>
      <c r="B372" s="467">
        <v>42490</v>
      </c>
      <c r="C372" s="468" t="s">
        <v>4431</v>
      </c>
      <c r="D372" s="468" t="s">
        <v>4016</v>
      </c>
      <c r="E372" s="468" t="s">
        <v>3684</v>
      </c>
      <c r="F372" s="468" t="s">
        <v>3686</v>
      </c>
      <c r="G372" s="466">
        <v>14</v>
      </c>
      <c r="H372" s="465">
        <v>7</v>
      </c>
      <c r="I372" s="466"/>
      <c r="J372" s="466"/>
      <c r="K372" s="466">
        <v>14</v>
      </c>
      <c r="L372" s="465" t="s">
        <v>431</v>
      </c>
      <c r="M372" s="463">
        <v>7409</v>
      </c>
      <c r="N372" s="468" t="s">
        <v>3225</v>
      </c>
      <c r="O372" s="466">
        <v>13</v>
      </c>
      <c r="P372" s="523">
        <v>-16.75</v>
      </c>
      <c r="Q372" s="462">
        <v>8.2199074074074075E-4</v>
      </c>
      <c r="R372" s="463">
        <v>99</v>
      </c>
      <c r="S372" s="466" t="s">
        <v>625</v>
      </c>
      <c r="T372" s="524"/>
      <c r="W372" s="460"/>
      <c r="AY372" s="486">
        <f t="shared" si="21"/>
        <v>99</v>
      </c>
      <c r="AZ372" s="487" t="str">
        <f t="shared" si="20"/>
        <v/>
      </c>
      <c r="CH372" s="459"/>
    </row>
    <row r="373" spans="1:90" s="469" customFormat="1" ht="12" customHeight="1" x14ac:dyDescent="0.15">
      <c r="A373" s="471" t="s">
        <v>1295</v>
      </c>
      <c r="B373" s="472">
        <v>42490</v>
      </c>
      <c r="C373" s="471" t="s">
        <v>646</v>
      </c>
      <c r="D373" s="471" t="s">
        <v>3751</v>
      </c>
      <c r="E373" s="471" t="s">
        <v>4666</v>
      </c>
      <c r="F373" s="471" t="s">
        <v>788</v>
      </c>
      <c r="G373" s="473">
        <v>10</v>
      </c>
      <c r="H373" s="474">
        <v>8.5</v>
      </c>
      <c r="I373" s="475" t="s">
        <v>3730</v>
      </c>
      <c r="J373" s="475"/>
      <c r="K373" s="473">
        <v>10</v>
      </c>
      <c r="L373" s="458">
        <v>6</v>
      </c>
      <c r="M373" s="476">
        <v>47000</v>
      </c>
      <c r="N373" s="471" t="s">
        <v>4486</v>
      </c>
      <c r="O373" s="477" t="s">
        <v>431</v>
      </c>
      <c r="P373" s="478" t="s">
        <v>431</v>
      </c>
      <c r="Q373" s="479" t="s">
        <v>431</v>
      </c>
      <c r="R373" s="480" t="s">
        <v>431</v>
      </c>
      <c r="S373" s="477"/>
      <c r="T373" s="481" t="s">
        <v>4689</v>
      </c>
      <c r="U373" s="482"/>
      <c r="V373" s="482"/>
      <c r="W373" s="483"/>
      <c r="X373" s="482"/>
      <c r="Y373" s="482"/>
      <c r="Z373" s="482"/>
      <c r="AA373" s="482"/>
      <c r="AB373" s="482"/>
      <c r="AC373" s="482"/>
      <c r="AD373" s="482"/>
      <c r="AE373" s="482"/>
      <c r="AF373" s="482"/>
      <c r="AG373" s="482"/>
      <c r="AH373" s="482"/>
      <c r="AI373" s="482"/>
      <c r="AJ373" s="482"/>
      <c r="AK373" s="482"/>
      <c r="AL373" s="482"/>
      <c r="AM373" s="482"/>
      <c r="AN373" s="482"/>
      <c r="AO373" s="482"/>
      <c r="AP373" s="482"/>
      <c r="AQ373" s="482"/>
      <c r="AR373" s="482"/>
      <c r="AS373" s="482"/>
      <c r="AT373" s="482"/>
      <c r="AU373" s="482"/>
      <c r="AV373" s="482"/>
      <c r="AW373" s="482"/>
      <c r="AX373" s="482"/>
      <c r="AY373" s="486" t="str">
        <f t="shared" si="21"/>
        <v/>
      </c>
      <c r="AZ373" s="487" t="str">
        <f t="shared" si="20"/>
        <v/>
      </c>
      <c r="BA373" s="482"/>
      <c r="BB373" s="482"/>
      <c r="BC373" s="482"/>
      <c r="BD373" s="482"/>
      <c r="BE373" s="482"/>
      <c r="BF373" s="482"/>
      <c r="BG373" s="482"/>
      <c r="BH373" s="482"/>
      <c r="BI373" s="482"/>
      <c r="BJ373" s="482"/>
      <c r="BK373" s="482"/>
      <c r="BL373" s="482"/>
      <c r="BM373" s="482"/>
      <c r="BN373" s="482"/>
      <c r="BO373" s="482"/>
      <c r="BP373" s="482"/>
      <c r="BQ373" s="482"/>
      <c r="BR373" s="482"/>
      <c r="BS373" s="482"/>
      <c r="BT373" s="482"/>
      <c r="BU373" s="482"/>
      <c r="BV373" s="482"/>
      <c r="BW373" s="482"/>
      <c r="BX373" s="482"/>
      <c r="BY373" s="482"/>
      <c r="BZ373" s="482"/>
      <c r="CA373" s="482"/>
      <c r="CB373" s="482"/>
      <c r="CC373" s="482"/>
      <c r="CD373" s="482"/>
      <c r="CE373" s="482"/>
      <c r="CF373" s="482"/>
      <c r="CG373" s="482"/>
      <c r="CH373" s="484"/>
    </row>
    <row r="374" spans="1:90" s="461" customFormat="1" ht="12" customHeight="1" x14ac:dyDescent="0.15">
      <c r="A374" s="522" t="s">
        <v>4656</v>
      </c>
      <c r="B374" s="467">
        <v>42490</v>
      </c>
      <c r="C374" s="468" t="s">
        <v>4521</v>
      </c>
      <c r="D374" s="468" t="s">
        <v>3192</v>
      </c>
      <c r="E374" s="468" t="s">
        <v>3683</v>
      </c>
      <c r="F374" s="468" t="s">
        <v>3686</v>
      </c>
      <c r="G374" s="466">
        <v>15</v>
      </c>
      <c r="H374" s="465">
        <v>5.5</v>
      </c>
      <c r="I374" s="466"/>
      <c r="J374" s="466"/>
      <c r="K374" s="466">
        <v>14</v>
      </c>
      <c r="L374" s="465" t="s">
        <v>431</v>
      </c>
      <c r="M374" s="463">
        <v>6641</v>
      </c>
      <c r="N374" s="468" t="s">
        <v>3225</v>
      </c>
      <c r="O374" s="466">
        <v>10</v>
      </c>
      <c r="P374" s="523">
        <v>-13</v>
      </c>
      <c r="Q374" s="462">
        <v>7.4444444444444439E-4</v>
      </c>
      <c r="R374" s="463">
        <v>99</v>
      </c>
      <c r="S374" s="466" t="s">
        <v>625</v>
      </c>
      <c r="T374" s="524"/>
      <c r="W374" s="460"/>
      <c r="AY374" s="486">
        <f t="shared" si="21"/>
        <v>99</v>
      </c>
      <c r="AZ374" s="487" t="str">
        <f t="shared" si="20"/>
        <v/>
      </c>
      <c r="CH374" s="459"/>
    </row>
    <row r="375" spans="1:90" s="461" customFormat="1" ht="12" customHeight="1" x14ac:dyDescent="0.15">
      <c r="A375" s="522" t="s">
        <v>4548</v>
      </c>
      <c r="B375" s="467">
        <v>42490</v>
      </c>
      <c r="C375" s="468" t="s">
        <v>4658</v>
      </c>
      <c r="D375" s="468" t="s">
        <v>4657</v>
      </c>
      <c r="E375" s="468" t="s">
        <v>4659</v>
      </c>
      <c r="F375" s="468" t="s">
        <v>2377</v>
      </c>
      <c r="G375" s="466">
        <v>2</v>
      </c>
      <c r="H375" s="465">
        <v>8</v>
      </c>
      <c r="I375" s="466"/>
      <c r="J375" s="466"/>
      <c r="K375" s="466">
        <v>6</v>
      </c>
      <c r="L375" s="525">
        <f>9/2</f>
        <v>4.5</v>
      </c>
      <c r="M375" s="463">
        <v>6300</v>
      </c>
      <c r="N375" s="468" t="s">
        <v>197</v>
      </c>
      <c r="O375" s="466">
        <v>5</v>
      </c>
      <c r="P375" s="523">
        <v>-19.75</v>
      </c>
      <c r="Q375" s="462">
        <v>1.2098379629629629E-3</v>
      </c>
      <c r="R375" s="463">
        <v>126</v>
      </c>
      <c r="S375" s="466"/>
      <c r="T375" s="524"/>
      <c r="W375" s="460"/>
      <c r="AY375" s="486" t="str">
        <f t="shared" si="21"/>
        <v/>
      </c>
      <c r="AZ375" s="487" t="str">
        <f t="shared" si="20"/>
        <v/>
      </c>
      <c r="CH375" s="459"/>
    </row>
    <row r="376" spans="1:90" s="461" customFormat="1" ht="12" customHeight="1" x14ac:dyDescent="0.15">
      <c r="A376" s="522" t="s">
        <v>1381</v>
      </c>
      <c r="B376" s="467">
        <v>42490</v>
      </c>
      <c r="C376" s="468" t="s">
        <v>4512</v>
      </c>
      <c r="D376" s="468" t="s">
        <v>4511</v>
      </c>
      <c r="E376" s="468" t="s">
        <v>4513</v>
      </c>
      <c r="F376" s="468" t="s">
        <v>2377</v>
      </c>
      <c r="G376" s="466">
        <v>5</v>
      </c>
      <c r="H376" s="465">
        <v>5</v>
      </c>
      <c r="I376" s="466"/>
      <c r="J376" s="466"/>
      <c r="K376" s="466">
        <v>8</v>
      </c>
      <c r="L376" s="525">
        <v>10</v>
      </c>
      <c r="M376" s="463">
        <v>6300</v>
      </c>
      <c r="N376" s="468" t="s">
        <v>197</v>
      </c>
      <c r="O376" s="466">
        <v>5</v>
      </c>
      <c r="P376" s="523">
        <v>-11.5</v>
      </c>
      <c r="Q376" s="462">
        <v>6.9641203703703694E-4</v>
      </c>
      <c r="R376" s="463">
        <v>126</v>
      </c>
      <c r="S376" s="466"/>
      <c r="T376" s="524"/>
      <c r="W376" s="460"/>
      <c r="AY376" s="486" t="str">
        <f t="shared" si="21"/>
        <v/>
      </c>
      <c r="AZ376" s="487" t="str">
        <f t="shared" si="20"/>
        <v/>
      </c>
      <c r="CH376" s="459"/>
    </row>
    <row r="377" spans="1:90" s="461" customFormat="1" ht="12" customHeight="1" x14ac:dyDescent="0.15">
      <c r="A377" s="522" t="s">
        <v>36</v>
      </c>
      <c r="B377" s="467">
        <v>42491</v>
      </c>
      <c r="C377" s="468" t="s">
        <v>4563</v>
      </c>
      <c r="D377" s="468" t="s">
        <v>4564</v>
      </c>
      <c r="E377" s="468" t="s">
        <v>4671</v>
      </c>
      <c r="F377" s="468" t="s">
        <v>4574</v>
      </c>
      <c r="G377" s="466">
        <v>5</v>
      </c>
      <c r="H377" s="465">
        <v>5.5</v>
      </c>
      <c r="I377" s="466"/>
      <c r="J377" s="466"/>
      <c r="K377" s="466">
        <v>6</v>
      </c>
      <c r="L377" s="601">
        <v>6</v>
      </c>
      <c r="M377" s="463">
        <v>14000</v>
      </c>
      <c r="N377" s="468" t="s">
        <v>4673</v>
      </c>
      <c r="O377" s="466">
        <v>3</v>
      </c>
      <c r="P377" s="523">
        <v>-4</v>
      </c>
      <c r="Q377" s="462">
        <v>7.5324074074074085E-4</v>
      </c>
      <c r="R377" s="463">
        <v>1529</v>
      </c>
      <c r="S377" s="466"/>
      <c r="T377" s="524"/>
      <c r="W377" s="460"/>
      <c r="AY377" s="486" t="str">
        <f t="shared" si="21"/>
        <v/>
      </c>
      <c r="AZ377" s="487" t="str">
        <f t="shared" si="20"/>
        <v/>
      </c>
      <c r="CH377" s="459"/>
    </row>
    <row r="378" spans="1:90" s="461" customFormat="1" ht="12" customHeight="1" x14ac:dyDescent="0.15">
      <c r="A378" s="522" t="s">
        <v>1783</v>
      </c>
      <c r="B378" s="467">
        <v>42492</v>
      </c>
      <c r="C378" s="468" t="s">
        <v>4873</v>
      </c>
      <c r="D378" s="468" t="s">
        <v>4675</v>
      </c>
      <c r="E378" s="468" t="s">
        <v>4676</v>
      </c>
      <c r="F378" s="468" t="s">
        <v>4677</v>
      </c>
      <c r="G378" s="466">
        <v>4</v>
      </c>
      <c r="H378" s="465">
        <v>10</v>
      </c>
      <c r="I378" s="466"/>
      <c r="J378" s="466"/>
      <c r="K378" s="466">
        <v>9</v>
      </c>
      <c r="L378" s="465" t="s">
        <v>431</v>
      </c>
      <c r="M378" s="463">
        <v>772</v>
      </c>
      <c r="N378" s="468" t="s">
        <v>4707</v>
      </c>
      <c r="O378" s="466">
        <v>8</v>
      </c>
      <c r="P378" s="523">
        <v>-28</v>
      </c>
      <c r="Q378" s="462">
        <v>1.486111111111111E-3</v>
      </c>
      <c r="R378" s="463">
        <v>0</v>
      </c>
      <c r="S378" s="466" t="s">
        <v>625</v>
      </c>
      <c r="T378" s="524"/>
      <c r="W378" s="460"/>
      <c r="AY378" s="486">
        <f t="shared" si="21"/>
        <v>0</v>
      </c>
      <c r="AZ378" s="487" t="str">
        <f t="shared" si="20"/>
        <v/>
      </c>
      <c r="CH378" s="459"/>
    </row>
    <row r="379" spans="1:90" s="461" customFormat="1" ht="12" customHeight="1" x14ac:dyDescent="0.15">
      <c r="A379" s="522" t="s">
        <v>1534</v>
      </c>
      <c r="B379" s="467">
        <v>42492</v>
      </c>
      <c r="C379" s="468" t="s">
        <v>4509</v>
      </c>
      <c r="D379" s="468" t="s">
        <v>4510</v>
      </c>
      <c r="E379" s="468" t="s">
        <v>4514</v>
      </c>
      <c r="F379" s="468" t="s">
        <v>4171</v>
      </c>
      <c r="G379" s="466">
        <v>1</v>
      </c>
      <c r="H379" s="465">
        <v>8.3000000000000007</v>
      </c>
      <c r="I379" s="466"/>
      <c r="J379" s="466" t="s">
        <v>960</v>
      </c>
      <c r="K379" s="466">
        <v>7</v>
      </c>
      <c r="L379" s="601">
        <v>5</v>
      </c>
      <c r="M379" s="463">
        <v>18000</v>
      </c>
      <c r="N379" s="468" t="s">
        <v>197</v>
      </c>
      <c r="O379" s="466">
        <v>4</v>
      </c>
      <c r="P379" s="523">
        <v>-13.5</v>
      </c>
      <c r="Q379" s="462">
        <v>1.2016203703703705E-3</v>
      </c>
      <c r="R379" s="463">
        <v>1080</v>
      </c>
      <c r="S379" s="466"/>
      <c r="T379" s="524"/>
      <c r="W379" s="460"/>
      <c r="AY379" s="486" t="str">
        <f t="shared" si="21"/>
        <v/>
      </c>
      <c r="AZ379" s="487" t="str">
        <f t="shared" si="20"/>
        <v/>
      </c>
      <c r="CH379" s="459"/>
    </row>
    <row r="380" spans="1:90" s="461" customFormat="1" ht="12" customHeight="1" x14ac:dyDescent="0.15">
      <c r="A380" s="522" t="s">
        <v>1667</v>
      </c>
      <c r="B380" s="467">
        <v>42494</v>
      </c>
      <c r="C380" s="468" t="s">
        <v>4073</v>
      </c>
      <c r="D380" s="468" t="s">
        <v>3722</v>
      </c>
      <c r="E380" s="468" t="s">
        <v>4693</v>
      </c>
      <c r="F380" s="468" t="s">
        <v>4672</v>
      </c>
      <c r="G380" s="466">
        <v>8</v>
      </c>
      <c r="H380" s="465">
        <f>1650/200</f>
        <v>8.25</v>
      </c>
      <c r="I380" s="466" t="s">
        <v>3730</v>
      </c>
      <c r="J380" s="466"/>
      <c r="K380" s="466">
        <v>12</v>
      </c>
      <c r="L380" s="465" t="s">
        <v>431</v>
      </c>
      <c r="M380" s="463">
        <v>150151</v>
      </c>
      <c r="N380" s="468" t="s">
        <v>4074</v>
      </c>
      <c r="O380" s="466">
        <v>11</v>
      </c>
      <c r="P380" s="523">
        <v>-10.5</v>
      </c>
      <c r="Q380" s="462">
        <v>1.1645833333333332E-3</v>
      </c>
      <c r="R380" s="463">
        <v>0</v>
      </c>
      <c r="S380" s="466" t="s">
        <v>625</v>
      </c>
      <c r="T380" s="524" t="s">
        <v>4708</v>
      </c>
      <c r="W380" s="460"/>
      <c r="AY380" s="486">
        <f t="shared" si="21"/>
        <v>0</v>
      </c>
      <c r="AZ380" s="487" t="str">
        <f t="shared" si="20"/>
        <v/>
      </c>
      <c r="CH380" s="459"/>
    </row>
    <row r="381" spans="1:90" s="461" customFormat="1" ht="12" customHeight="1" x14ac:dyDescent="0.15">
      <c r="A381" s="522" t="s">
        <v>2480</v>
      </c>
      <c r="B381" s="467">
        <v>42495</v>
      </c>
      <c r="C381" s="468" t="s">
        <v>3992</v>
      </c>
      <c r="D381" s="468" t="s">
        <v>3990</v>
      </c>
      <c r="E381" s="468" t="s">
        <v>4694</v>
      </c>
      <c r="F381" s="468" t="s">
        <v>540</v>
      </c>
      <c r="G381" s="466">
        <v>7</v>
      </c>
      <c r="H381" s="465">
        <v>6</v>
      </c>
      <c r="I381" s="466"/>
      <c r="J381" s="466"/>
      <c r="K381" s="466">
        <v>7</v>
      </c>
      <c r="L381" s="525">
        <v>12</v>
      </c>
      <c r="M381" s="463">
        <v>24000</v>
      </c>
      <c r="N381" s="468" t="s">
        <v>4651</v>
      </c>
      <c r="O381" s="466">
        <v>7</v>
      </c>
      <c r="P381" s="523">
        <v>-14.5</v>
      </c>
      <c r="Q381" s="462">
        <v>8.3680555555555559E-4</v>
      </c>
      <c r="R381" s="463">
        <v>210</v>
      </c>
      <c r="S381" s="466"/>
      <c r="T381" s="524"/>
      <c r="W381" s="460"/>
      <c r="AY381" s="486" t="str">
        <f t="shared" si="21"/>
        <v/>
      </c>
      <c r="AZ381" s="487" t="str">
        <f t="shared" si="20"/>
        <v/>
      </c>
      <c r="CH381" s="459"/>
    </row>
    <row r="382" spans="1:90" s="461" customFormat="1" ht="12" customHeight="1" x14ac:dyDescent="0.15">
      <c r="A382" s="522" t="s">
        <v>2178</v>
      </c>
      <c r="B382" s="467">
        <v>42495</v>
      </c>
      <c r="C382" s="468" t="s">
        <v>4800</v>
      </c>
      <c r="D382" s="468" t="s">
        <v>4403</v>
      </c>
      <c r="E382" s="468" t="s">
        <v>66</v>
      </c>
      <c r="F382" s="468" t="s">
        <v>2376</v>
      </c>
      <c r="G382" s="466">
        <v>4</v>
      </c>
      <c r="H382" s="465">
        <v>8.3000000000000007</v>
      </c>
      <c r="I382" s="466"/>
      <c r="J382" s="466" t="s">
        <v>961</v>
      </c>
      <c r="K382" s="466">
        <v>8</v>
      </c>
      <c r="L382" s="601">
        <v>15</v>
      </c>
      <c r="M382" s="463">
        <v>12400</v>
      </c>
      <c r="N382" s="468" t="s">
        <v>4674</v>
      </c>
      <c r="O382" s="466">
        <v>5</v>
      </c>
      <c r="P382" s="523">
        <v>-9.25</v>
      </c>
      <c r="Q382" s="462">
        <v>1.2410879629629629E-3</v>
      </c>
      <c r="R382" s="463">
        <v>372</v>
      </c>
      <c r="S382" s="466"/>
      <c r="T382" s="524"/>
      <c r="W382" s="460"/>
      <c r="AY382" s="486" t="str">
        <f t="shared" si="21"/>
        <v/>
      </c>
      <c r="AZ382" s="487" t="str">
        <f t="shared" si="20"/>
        <v/>
      </c>
      <c r="CH382" s="459"/>
    </row>
    <row r="383" spans="1:90" s="461" customFormat="1" ht="12" customHeight="1" x14ac:dyDescent="0.15">
      <c r="A383" s="522" t="s">
        <v>2164</v>
      </c>
      <c r="B383" s="467">
        <v>42495</v>
      </c>
      <c r="C383" s="468" t="s">
        <v>3701</v>
      </c>
      <c r="D383" s="468" t="s">
        <v>3702</v>
      </c>
      <c r="E383" s="468" t="s">
        <v>3796</v>
      </c>
      <c r="F383" s="468" t="s">
        <v>2376</v>
      </c>
      <c r="G383" s="466">
        <v>5</v>
      </c>
      <c r="H383" s="465">
        <v>6</v>
      </c>
      <c r="I383" s="466"/>
      <c r="J383" s="466" t="s">
        <v>961</v>
      </c>
      <c r="K383" s="466">
        <v>8</v>
      </c>
      <c r="L383" s="601">
        <v>6</v>
      </c>
      <c r="M383" s="463">
        <v>31400</v>
      </c>
      <c r="N383" s="468" t="s">
        <v>4635</v>
      </c>
      <c r="O383" s="466">
        <v>4</v>
      </c>
      <c r="P383" s="523">
        <v>-21.5</v>
      </c>
      <c r="Q383" s="462">
        <v>7.9768518518518524E-4</v>
      </c>
      <c r="R383" s="463">
        <v>1884</v>
      </c>
      <c r="S383" s="466"/>
      <c r="T383" s="524"/>
      <c r="W383" s="460"/>
      <c r="AY383" s="486" t="str">
        <f t="shared" si="21"/>
        <v/>
      </c>
      <c r="AZ383" s="487" t="str">
        <f t="shared" si="20"/>
        <v/>
      </c>
      <c r="CH383" s="459"/>
    </row>
    <row r="384" spans="1:90" s="461" customFormat="1" ht="12" customHeight="1" x14ac:dyDescent="0.15">
      <c r="A384" s="522" t="s">
        <v>3944</v>
      </c>
      <c r="B384" s="467">
        <v>42496</v>
      </c>
      <c r="C384" s="468" t="s">
        <v>3949</v>
      </c>
      <c r="D384" s="468" t="s">
        <v>3945</v>
      </c>
      <c r="E384" s="468" t="s">
        <v>3848</v>
      </c>
      <c r="F384" s="468" t="s">
        <v>3686</v>
      </c>
      <c r="G384" s="466">
        <v>3</v>
      </c>
      <c r="H384" s="465">
        <v>7</v>
      </c>
      <c r="I384" s="466"/>
      <c r="J384" s="466"/>
      <c r="K384" s="466">
        <v>7</v>
      </c>
      <c r="L384" s="525">
        <v>6</v>
      </c>
      <c r="M384" s="463">
        <v>12238</v>
      </c>
      <c r="N384" s="468" t="s">
        <v>4717</v>
      </c>
      <c r="O384" s="466">
        <v>5</v>
      </c>
      <c r="P384" s="523">
        <v>12</v>
      </c>
      <c r="Q384" s="462">
        <v>9.6446759259259261E-4</v>
      </c>
      <c r="R384" s="463">
        <v>99</v>
      </c>
      <c r="S384" s="466" t="s">
        <v>625</v>
      </c>
      <c r="T384" s="524"/>
      <c r="W384" s="460"/>
      <c r="AY384" s="486">
        <f t="shared" si="21"/>
        <v>99</v>
      </c>
      <c r="AZ384" s="487" t="str">
        <f t="shared" si="20"/>
        <v/>
      </c>
      <c r="CH384" s="459"/>
    </row>
    <row r="385" spans="1:90" s="461" customFormat="1" ht="12" customHeight="1" x14ac:dyDescent="0.15">
      <c r="A385" s="522" t="s">
        <v>4003</v>
      </c>
      <c r="B385" s="467">
        <v>42497</v>
      </c>
      <c r="C385" s="468" t="s">
        <v>4004</v>
      </c>
      <c r="D385" s="468" t="s">
        <v>4005</v>
      </c>
      <c r="E385" s="468" t="s">
        <v>3683</v>
      </c>
      <c r="F385" s="468" t="s">
        <v>3686</v>
      </c>
      <c r="G385" s="466">
        <v>1</v>
      </c>
      <c r="H385" s="465">
        <v>6</v>
      </c>
      <c r="I385" s="466"/>
      <c r="J385" s="466"/>
      <c r="K385" s="466">
        <v>8</v>
      </c>
      <c r="L385" s="525">
        <f>9/2</f>
        <v>4.5</v>
      </c>
      <c r="M385" s="463">
        <v>9060</v>
      </c>
      <c r="N385" s="468" t="s">
        <v>4695</v>
      </c>
      <c r="O385" s="466">
        <v>4</v>
      </c>
      <c r="P385" s="523">
        <v>-12.75</v>
      </c>
      <c r="Q385" s="462">
        <v>8.4768518518518526E-4</v>
      </c>
      <c r="R385" s="463">
        <v>538</v>
      </c>
      <c r="S385" s="466" t="s">
        <v>625</v>
      </c>
      <c r="T385" s="524"/>
      <c r="W385" s="460"/>
      <c r="AY385" s="486">
        <f t="shared" si="21"/>
        <v>538</v>
      </c>
      <c r="AZ385" s="487" t="str">
        <f t="shared" si="20"/>
        <v/>
      </c>
      <c r="CH385" s="459"/>
    </row>
    <row r="386" spans="1:90" s="461" customFormat="1" ht="12" customHeight="1" x14ac:dyDescent="0.15">
      <c r="A386" s="522" t="s">
        <v>4698</v>
      </c>
      <c r="B386" s="467">
        <v>42497</v>
      </c>
      <c r="C386" s="468" t="s">
        <v>4697</v>
      </c>
      <c r="D386" s="468" t="s">
        <v>4520</v>
      </c>
      <c r="E386" s="468" t="s">
        <v>4535</v>
      </c>
      <c r="F386" s="468" t="s">
        <v>3686</v>
      </c>
      <c r="G386" s="466">
        <v>3</v>
      </c>
      <c r="H386" s="465">
        <v>6</v>
      </c>
      <c r="I386" s="466"/>
      <c r="J386" s="466"/>
      <c r="K386" s="466">
        <v>14</v>
      </c>
      <c r="L386" s="525">
        <v>6</v>
      </c>
      <c r="M386" s="463">
        <v>6439</v>
      </c>
      <c r="N386" s="468" t="s">
        <v>3225</v>
      </c>
      <c r="O386" s="466">
        <v>7</v>
      </c>
      <c r="P386" s="523">
        <v>-10.5</v>
      </c>
      <c r="Q386" s="462">
        <v>8.4212962962962974E-4</v>
      </c>
      <c r="R386" s="463">
        <v>99</v>
      </c>
      <c r="S386" s="466" t="s">
        <v>625</v>
      </c>
      <c r="T386" s="524" t="s">
        <v>4699</v>
      </c>
      <c r="W386" s="460"/>
      <c r="AY386" s="486">
        <f t="shared" si="21"/>
        <v>99</v>
      </c>
      <c r="AZ386" s="487" t="str">
        <f t="shared" si="20"/>
        <v/>
      </c>
      <c r="CH386" s="459"/>
    </row>
    <row r="387" spans="1:90" s="469" customFormat="1" ht="12" customHeight="1" x14ac:dyDescent="0.15">
      <c r="A387" s="351" t="s">
        <v>2401</v>
      </c>
      <c r="B387" s="603">
        <v>42497</v>
      </c>
      <c r="C387" s="457" t="s">
        <v>3704</v>
      </c>
      <c r="D387" s="457" t="s">
        <v>3705</v>
      </c>
      <c r="E387" s="457" t="s">
        <v>1623</v>
      </c>
      <c r="F387" s="457" t="s">
        <v>4171</v>
      </c>
      <c r="G387" s="259">
        <v>6</v>
      </c>
      <c r="H387" s="604">
        <v>8.3000000000000007</v>
      </c>
      <c r="I387" s="605"/>
      <c r="J387" s="605"/>
      <c r="K387" s="259">
        <v>8</v>
      </c>
      <c r="L387" s="525">
        <f>5/2</f>
        <v>2.5</v>
      </c>
      <c r="M387" s="607">
        <v>54000</v>
      </c>
      <c r="N387" s="457" t="s">
        <v>4486</v>
      </c>
      <c r="O387" s="259" t="s">
        <v>3872</v>
      </c>
      <c r="P387" s="608" t="s">
        <v>3188</v>
      </c>
      <c r="Q387" s="609">
        <v>1.1725694444444444E-3</v>
      </c>
      <c r="R387" s="607">
        <v>500</v>
      </c>
      <c r="S387" s="259"/>
      <c r="T387" s="469" t="s">
        <v>4726</v>
      </c>
      <c r="W387" s="610"/>
      <c r="AY387" s="486" t="str">
        <f t="shared" si="21"/>
        <v/>
      </c>
      <c r="AZ387" s="487" t="str">
        <f t="shared" ref="AZ387:AZ408" si="22">IF(F387="Pleasant Meadows","",IF(L387="","",IF(O387="--","",IF(O387=1,1,""))))</f>
        <v/>
      </c>
      <c r="CH387" s="260"/>
    </row>
    <row r="388" spans="1:90" s="461" customFormat="1" ht="12" customHeight="1" x14ac:dyDescent="0.15">
      <c r="A388" s="522" t="s">
        <v>4518</v>
      </c>
      <c r="B388" s="467">
        <v>42497</v>
      </c>
      <c r="C388" s="468" t="s">
        <v>4519</v>
      </c>
      <c r="D388" s="468" t="s">
        <v>4520</v>
      </c>
      <c r="E388" s="468" t="s">
        <v>4535</v>
      </c>
      <c r="F388" s="468" t="s">
        <v>3686</v>
      </c>
      <c r="G388" s="466">
        <v>4</v>
      </c>
      <c r="H388" s="465">
        <v>6</v>
      </c>
      <c r="I388" s="466"/>
      <c r="J388" s="466"/>
      <c r="K388" s="466">
        <v>14</v>
      </c>
      <c r="L388" s="525">
        <v>4</v>
      </c>
      <c r="M388" s="463">
        <v>6439</v>
      </c>
      <c r="N388" s="468" t="s">
        <v>3225</v>
      </c>
      <c r="O388" s="466">
        <v>5</v>
      </c>
      <c r="P388" s="523">
        <v>-12.5</v>
      </c>
      <c r="Q388" s="462">
        <v>8.3287037037037043E-4</v>
      </c>
      <c r="R388" s="463">
        <v>99</v>
      </c>
      <c r="S388" s="466" t="s">
        <v>625</v>
      </c>
      <c r="T388" s="524"/>
      <c r="W388" s="460"/>
      <c r="AY388" s="486">
        <f t="shared" si="21"/>
        <v>99</v>
      </c>
      <c r="AZ388" s="487" t="str">
        <f t="shared" si="22"/>
        <v/>
      </c>
      <c r="CH388" s="459"/>
    </row>
    <row r="389" spans="1:90" s="461" customFormat="1" ht="12" customHeight="1" x14ac:dyDescent="0.15">
      <c r="A389" s="522" t="s">
        <v>3937</v>
      </c>
      <c r="B389" s="467">
        <v>42497</v>
      </c>
      <c r="C389" s="468" t="s">
        <v>3939</v>
      </c>
      <c r="D389" s="468" t="s">
        <v>3938</v>
      </c>
      <c r="E389" s="468" t="s">
        <v>4534</v>
      </c>
      <c r="F389" s="468" t="s">
        <v>3686</v>
      </c>
      <c r="G389" s="466">
        <v>5</v>
      </c>
      <c r="H389" s="465">
        <v>6.5</v>
      </c>
      <c r="I389" s="466"/>
      <c r="J389" s="466"/>
      <c r="K389" s="466">
        <v>7</v>
      </c>
      <c r="L389" s="525">
        <f>9/2</f>
        <v>4.5</v>
      </c>
      <c r="M389" s="463">
        <v>16709</v>
      </c>
      <c r="N389" s="468" t="s">
        <v>4696</v>
      </c>
      <c r="O389" s="466">
        <v>6</v>
      </c>
      <c r="P389" s="523">
        <v>-22.25</v>
      </c>
      <c r="Q389" s="462">
        <v>8.902777777777777E-4</v>
      </c>
      <c r="R389" s="463">
        <v>99</v>
      </c>
      <c r="S389" s="466" t="s">
        <v>625</v>
      </c>
      <c r="T389" s="524"/>
      <c r="W389" s="460"/>
      <c r="AY389" s="486">
        <f t="shared" si="21"/>
        <v>99</v>
      </c>
      <c r="AZ389" s="487" t="str">
        <f t="shared" si="22"/>
        <v/>
      </c>
      <c r="CH389" s="459"/>
    </row>
    <row r="390" spans="1:90" s="469" customFormat="1" ht="12" customHeight="1" x14ac:dyDescent="0.15">
      <c r="A390" s="471" t="s">
        <v>4735</v>
      </c>
      <c r="B390" s="472">
        <v>42497</v>
      </c>
      <c r="C390" s="471" t="s">
        <v>4431</v>
      </c>
      <c r="D390" s="471" t="s">
        <v>4016</v>
      </c>
      <c r="E390" s="471" t="s">
        <v>3957</v>
      </c>
      <c r="F390" s="471" t="s">
        <v>3686</v>
      </c>
      <c r="G390" s="473">
        <v>6</v>
      </c>
      <c r="H390" s="474">
        <v>7</v>
      </c>
      <c r="I390" s="475"/>
      <c r="J390" s="475"/>
      <c r="K390" s="473">
        <v>9</v>
      </c>
      <c r="L390" s="485" t="s">
        <v>431</v>
      </c>
      <c r="M390" s="476">
        <v>9513</v>
      </c>
      <c r="N390" s="471" t="s">
        <v>4006</v>
      </c>
      <c r="O390" s="477" t="s">
        <v>431</v>
      </c>
      <c r="P390" s="478" t="s">
        <v>431</v>
      </c>
      <c r="Q390" s="479" t="s">
        <v>431</v>
      </c>
      <c r="R390" s="480" t="s">
        <v>431</v>
      </c>
      <c r="S390" s="477" t="s">
        <v>625</v>
      </c>
      <c r="T390" s="481" t="s">
        <v>3885</v>
      </c>
      <c r="U390" s="482"/>
      <c r="V390" s="482"/>
      <c r="W390" s="483"/>
      <c r="X390" s="482"/>
      <c r="Y390" s="482"/>
      <c r="Z390" s="482"/>
      <c r="AA390" s="482"/>
      <c r="AB390" s="482"/>
      <c r="AC390" s="482"/>
      <c r="AD390" s="482"/>
      <c r="AE390" s="482"/>
      <c r="AF390" s="482"/>
      <c r="AG390" s="482"/>
      <c r="AH390" s="482"/>
      <c r="AI390" s="482"/>
      <c r="AJ390" s="482"/>
      <c r="AK390" s="482"/>
      <c r="AL390" s="482"/>
      <c r="AM390" s="482"/>
      <c r="AN390" s="482"/>
      <c r="AO390" s="482"/>
      <c r="AP390" s="482"/>
      <c r="AQ390" s="482"/>
      <c r="AR390" s="482"/>
      <c r="AS390" s="482"/>
      <c r="AT390" s="482"/>
      <c r="AU390" s="482"/>
      <c r="AV390" s="482"/>
      <c r="AW390" s="482"/>
      <c r="AX390" s="482"/>
      <c r="AY390" s="486" t="str">
        <f t="shared" ref="AY390:AY408" si="23">IF(S390="","",R390)</f>
        <v>--</v>
      </c>
      <c r="AZ390" s="487" t="str">
        <f t="shared" si="22"/>
        <v/>
      </c>
      <c r="BA390" s="482"/>
      <c r="BB390" s="482"/>
      <c r="BC390" s="482"/>
      <c r="BD390" s="482"/>
      <c r="BE390" s="482"/>
      <c r="BF390" s="482"/>
      <c r="BG390" s="482"/>
      <c r="BH390" s="482"/>
      <c r="BI390" s="482"/>
      <c r="BJ390" s="482"/>
      <c r="BK390" s="482"/>
      <c r="BL390" s="482"/>
      <c r="BM390" s="482"/>
      <c r="BN390" s="482"/>
      <c r="BO390" s="482"/>
      <c r="BP390" s="482"/>
      <c r="BQ390" s="482"/>
      <c r="BR390" s="482"/>
      <c r="BS390" s="482"/>
      <c r="BT390" s="482"/>
      <c r="BU390" s="482"/>
      <c r="BV390" s="482"/>
      <c r="BW390" s="482"/>
      <c r="BX390" s="482"/>
      <c r="BY390" s="482"/>
      <c r="BZ390" s="482"/>
      <c r="CA390" s="482"/>
      <c r="CB390" s="482"/>
      <c r="CC390" s="482"/>
      <c r="CD390" s="482"/>
      <c r="CE390" s="482"/>
      <c r="CF390" s="482"/>
      <c r="CG390" s="482"/>
      <c r="CH390" s="484"/>
    </row>
    <row r="391" spans="1:90" s="461" customFormat="1" ht="12" customHeight="1" x14ac:dyDescent="0.15">
      <c r="A391" s="522" t="s">
        <v>3776</v>
      </c>
      <c r="B391" s="467">
        <v>42497</v>
      </c>
      <c r="C391" s="468" t="s">
        <v>3726</v>
      </c>
      <c r="D391" s="468" t="s">
        <v>3725</v>
      </c>
      <c r="E391" s="468" t="s">
        <v>3684</v>
      </c>
      <c r="F391" s="468" t="s">
        <v>3686</v>
      </c>
      <c r="G391" s="466">
        <v>8</v>
      </c>
      <c r="H391" s="465">
        <v>7</v>
      </c>
      <c r="I391" s="466"/>
      <c r="J391" s="466"/>
      <c r="K391" s="466">
        <v>9</v>
      </c>
      <c r="L391" s="525">
        <v>4</v>
      </c>
      <c r="M391" s="463">
        <v>6795</v>
      </c>
      <c r="N391" s="468" t="s">
        <v>3225</v>
      </c>
      <c r="O391" s="466">
        <v>2</v>
      </c>
      <c r="P391" s="523">
        <v>-6</v>
      </c>
      <c r="Q391" s="462">
        <v>9.774305555555556E-4</v>
      </c>
      <c r="R391" s="463">
        <v>1414</v>
      </c>
      <c r="S391" s="466" t="s">
        <v>625</v>
      </c>
      <c r="T391" s="524"/>
      <c r="W391" s="460"/>
      <c r="AY391" s="486">
        <f t="shared" si="23"/>
        <v>1414</v>
      </c>
      <c r="AZ391" s="487" t="str">
        <f t="shared" si="22"/>
        <v/>
      </c>
      <c r="CH391" s="459"/>
    </row>
    <row r="392" spans="1:90" s="461" customFormat="1" ht="12" customHeight="1" x14ac:dyDescent="0.15">
      <c r="A392" s="522" t="s">
        <v>4174</v>
      </c>
      <c r="B392" s="467">
        <v>42497</v>
      </c>
      <c r="C392" s="468" t="s">
        <v>2564</v>
      </c>
      <c r="D392" s="468" t="s">
        <v>4176</v>
      </c>
      <c r="E392" s="468" t="s">
        <v>3695</v>
      </c>
      <c r="F392" s="468" t="s">
        <v>3686</v>
      </c>
      <c r="G392" s="466">
        <v>12</v>
      </c>
      <c r="H392" s="465">
        <v>5.5</v>
      </c>
      <c r="I392" s="466"/>
      <c r="J392" s="466"/>
      <c r="K392" s="466">
        <v>14</v>
      </c>
      <c r="L392" s="525">
        <v>5</v>
      </c>
      <c r="M392" s="463">
        <v>5495</v>
      </c>
      <c r="N392" s="468" t="s">
        <v>3653</v>
      </c>
      <c r="O392" s="466">
        <v>9</v>
      </c>
      <c r="P392" s="523">
        <v>-7.5</v>
      </c>
      <c r="Q392" s="462">
        <v>7.6967592592592593E-4</v>
      </c>
      <c r="R392" s="463">
        <v>99</v>
      </c>
      <c r="S392" s="466" t="s">
        <v>625</v>
      </c>
      <c r="T392" s="524"/>
      <c r="W392" s="460"/>
      <c r="AY392" s="486">
        <f t="shared" si="23"/>
        <v>99</v>
      </c>
      <c r="AZ392" s="487" t="str">
        <f t="shared" si="22"/>
        <v/>
      </c>
      <c r="CH392" s="459"/>
    </row>
    <row r="393" spans="1:90" s="461" customFormat="1" ht="12" customHeight="1" x14ac:dyDescent="0.15">
      <c r="A393" s="522" t="s">
        <v>4700</v>
      </c>
      <c r="B393" s="467">
        <v>42497</v>
      </c>
      <c r="C393" s="468" t="s">
        <v>4701</v>
      </c>
      <c r="D393" s="468" t="s">
        <v>4702</v>
      </c>
      <c r="E393" s="468" t="s">
        <v>3957</v>
      </c>
      <c r="F393" s="468" t="s">
        <v>3686</v>
      </c>
      <c r="G393" s="466">
        <v>12</v>
      </c>
      <c r="H393" s="465">
        <v>5.5</v>
      </c>
      <c r="I393" s="466"/>
      <c r="J393" s="466"/>
      <c r="K393" s="466">
        <v>14</v>
      </c>
      <c r="L393" s="525">
        <v>8</v>
      </c>
      <c r="M393" s="463">
        <v>5495</v>
      </c>
      <c r="N393" s="468" t="s">
        <v>3653</v>
      </c>
      <c r="O393" s="466">
        <v>10</v>
      </c>
      <c r="P393" s="523">
        <v>-8.5</v>
      </c>
      <c r="Q393" s="462">
        <v>7.6967592592592593E-4</v>
      </c>
      <c r="R393" s="463">
        <v>99</v>
      </c>
      <c r="S393" s="466" t="s">
        <v>625</v>
      </c>
      <c r="T393" s="524"/>
      <c r="W393" s="460"/>
      <c r="AY393" s="486">
        <f t="shared" si="23"/>
        <v>99</v>
      </c>
      <c r="AZ393" s="487" t="str">
        <f t="shared" si="22"/>
        <v/>
      </c>
      <c r="CH393" s="459"/>
    </row>
    <row r="394" spans="1:90" s="461" customFormat="1" ht="12" customHeight="1" x14ac:dyDescent="0.15">
      <c r="A394" s="522" t="s">
        <v>4012</v>
      </c>
      <c r="B394" s="467">
        <v>42497</v>
      </c>
      <c r="C394" s="468" t="s">
        <v>4019</v>
      </c>
      <c r="D394" s="468" t="s">
        <v>4020</v>
      </c>
      <c r="E394" s="468" t="s">
        <v>3698</v>
      </c>
      <c r="F394" s="468" t="s">
        <v>3686</v>
      </c>
      <c r="G394" s="466">
        <v>12</v>
      </c>
      <c r="H394" s="465">
        <v>5.5</v>
      </c>
      <c r="I394" s="466"/>
      <c r="J394" s="466"/>
      <c r="K394" s="466">
        <v>14</v>
      </c>
      <c r="L394" s="525">
        <v>20</v>
      </c>
      <c r="M394" s="463">
        <v>5495</v>
      </c>
      <c r="N394" s="468" t="s">
        <v>3653</v>
      </c>
      <c r="O394" s="466">
        <v>12</v>
      </c>
      <c r="P394" s="523">
        <v>-9</v>
      </c>
      <c r="Q394" s="462">
        <v>7.6967592592592593E-4</v>
      </c>
      <c r="R394" s="463">
        <v>99</v>
      </c>
      <c r="S394" s="466" t="s">
        <v>625</v>
      </c>
      <c r="T394" s="524"/>
      <c r="W394" s="460"/>
      <c r="AY394" s="486">
        <f t="shared" si="23"/>
        <v>99</v>
      </c>
      <c r="AZ394" s="487" t="str">
        <f t="shared" si="22"/>
        <v/>
      </c>
      <c r="CH394" s="459"/>
    </row>
    <row r="395" spans="1:90" s="461" customFormat="1" ht="12" customHeight="1" x14ac:dyDescent="0.15">
      <c r="A395" s="522" t="s">
        <v>3369</v>
      </c>
      <c r="B395" s="467">
        <v>42497</v>
      </c>
      <c r="C395" s="468" t="s">
        <v>3370</v>
      </c>
      <c r="D395" s="468" t="s">
        <v>3902</v>
      </c>
      <c r="E395" s="468" t="s">
        <v>4712</v>
      </c>
      <c r="F395" s="468" t="s">
        <v>3686</v>
      </c>
      <c r="G395" s="466">
        <v>13</v>
      </c>
      <c r="H395" s="465">
        <v>5</v>
      </c>
      <c r="I395" s="466"/>
      <c r="J395" s="466"/>
      <c r="K395" s="466">
        <v>14</v>
      </c>
      <c r="L395" s="465" t="s">
        <v>431</v>
      </c>
      <c r="M395" s="463">
        <v>5495</v>
      </c>
      <c r="N395" s="468" t="s">
        <v>3653</v>
      </c>
      <c r="O395" s="466">
        <v>4</v>
      </c>
      <c r="P395" s="523">
        <v>-12.5</v>
      </c>
      <c r="Q395" s="462">
        <v>7.5335648148148148E-4</v>
      </c>
      <c r="R395" s="463">
        <v>219</v>
      </c>
      <c r="S395" s="466" t="s">
        <v>625</v>
      </c>
      <c r="T395" s="524"/>
      <c r="W395" s="460"/>
      <c r="AY395" s="486">
        <f t="shared" si="23"/>
        <v>219</v>
      </c>
      <c r="AZ395" s="487" t="str">
        <f t="shared" si="22"/>
        <v/>
      </c>
      <c r="CH395" s="459"/>
    </row>
    <row r="396" spans="1:90" s="469" customFormat="1" ht="12" customHeight="1" x14ac:dyDescent="0.15">
      <c r="A396" s="471" t="s">
        <v>3154</v>
      </c>
      <c r="B396" s="472">
        <v>42497</v>
      </c>
      <c r="C396" s="471" t="s">
        <v>4170</v>
      </c>
      <c r="D396" s="471" t="s">
        <v>3705</v>
      </c>
      <c r="E396" s="471" t="s">
        <v>3188</v>
      </c>
      <c r="F396" s="471" t="s">
        <v>4171</v>
      </c>
      <c r="G396" s="473">
        <v>5</v>
      </c>
      <c r="H396" s="474">
        <v>8.3000000000000007</v>
      </c>
      <c r="I396" s="475"/>
      <c r="J396" s="475"/>
      <c r="K396" s="473">
        <v>5</v>
      </c>
      <c r="L396" s="485" t="s">
        <v>431</v>
      </c>
      <c r="M396" s="476">
        <v>100000</v>
      </c>
      <c r="N396" s="471" t="s">
        <v>4637</v>
      </c>
      <c r="O396" s="477" t="s">
        <v>431</v>
      </c>
      <c r="P396" s="478" t="s">
        <v>431</v>
      </c>
      <c r="Q396" s="479" t="s">
        <v>431</v>
      </c>
      <c r="R396" s="480" t="s">
        <v>431</v>
      </c>
      <c r="S396" s="477"/>
      <c r="T396" s="481" t="s">
        <v>4110</v>
      </c>
      <c r="U396" s="482"/>
      <c r="V396" s="482"/>
      <c r="W396" s="483"/>
      <c r="X396" s="482"/>
      <c r="Y396" s="482"/>
      <c r="Z396" s="482"/>
      <c r="AA396" s="482"/>
      <c r="AB396" s="482"/>
      <c r="AC396" s="482"/>
      <c r="AD396" s="482"/>
      <c r="AE396" s="482"/>
      <c r="AF396" s="482"/>
      <c r="AG396" s="482"/>
      <c r="AH396" s="482"/>
      <c r="AI396" s="482"/>
      <c r="AJ396" s="482"/>
      <c r="AK396" s="482"/>
      <c r="AL396" s="482"/>
      <c r="AM396" s="482"/>
      <c r="AN396" s="482"/>
      <c r="AO396" s="482"/>
      <c r="AP396" s="482"/>
      <c r="AQ396" s="482"/>
      <c r="AR396" s="482"/>
      <c r="AS396" s="482"/>
      <c r="AT396" s="482"/>
      <c r="AU396" s="482"/>
      <c r="AV396" s="482"/>
      <c r="AW396" s="482"/>
      <c r="AX396" s="482"/>
      <c r="AY396" s="486" t="str">
        <f t="shared" si="23"/>
        <v/>
      </c>
      <c r="AZ396" s="487" t="str">
        <f t="shared" si="22"/>
        <v/>
      </c>
      <c r="BA396" s="482"/>
      <c r="BB396" s="482"/>
      <c r="BC396" s="482"/>
      <c r="BD396" s="482"/>
      <c r="BE396" s="482"/>
      <c r="BF396" s="482"/>
      <c r="BG396" s="482"/>
      <c r="BH396" s="482"/>
      <c r="BI396" s="482"/>
      <c r="BJ396" s="482"/>
      <c r="BK396" s="482"/>
      <c r="BL396" s="482"/>
      <c r="BM396" s="482"/>
      <c r="BN396" s="482"/>
      <c r="BO396" s="482"/>
      <c r="BP396" s="482"/>
      <c r="BQ396" s="482"/>
      <c r="BR396" s="482"/>
      <c r="BS396" s="482"/>
      <c r="BT396" s="482"/>
      <c r="BU396" s="482"/>
      <c r="BV396" s="482"/>
      <c r="BW396" s="482"/>
      <c r="BX396" s="482"/>
      <c r="BY396" s="482"/>
      <c r="BZ396" s="482"/>
      <c r="CA396" s="482"/>
      <c r="CB396" s="482"/>
      <c r="CC396" s="482"/>
      <c r="CD396" s="482"/>
      <c r="CE396" s="482"/>
      <c r="CF396" s="482"/>
      <c r="CG396" s="482"/>
      <c r="CH396" s="484"/>
    </row>
    <row r="397" spans="1:90" s="469" customFormat="1" ht="12" customHeight="1" x14ac:dyDescent="0.15">
      <c r="A397" s="471" t="s">
        <v>2228</v>
      </c>
      <c r="B397" s="472">
        <v>42497</v>
      </c>
      <c r="C397" s="471" t="s">
        <v>3866</v>
      </c>
      <c r="D397" s="471" t="s">
        <v>4491</v>
      </c>
      <c r="E397" s="471" t="s">
        <v>4492</v>
      </c>
      <c r="F397" s="471" t="s">
        <v>2377</v>
      </c>
      <c r="G397" s="473">
        <v>3</v>
      </c>
      <c r="H397" s="474">
        <v>5</v>
      </c>
      <c r="I397" s="475" t="s">
        <v>3730</v>
      </c>
      <c r="J397" s="475"/>
      <c r="K397" s="473">
        <v>10</v>
      </c>
      <c r="L397" s="458">
        <v>8</v>
      </c>
      <c r="M397" s="476">
        <v>14100</v>
      </c>
      <c r="N397" s="471" t="s">
        <v>4636</v>
      </c>
      <c r="O397" s="477" t="s">
        <v>431</v>
      </c>
      <c r="P397" s="478" t="s">
        <v>431</v>
      </c>
      <c r="Q397" s="479" t="s">
        <v>431</v>
      </c>
      <c r="R397" s="480" t="s">
        <v>431</v>
      </c>
      <c r="S397" s="477"/>
      <c r="T397" s="481" t="s">
        <v>4737</v>
      </c>
      <c r="U397" s="482"/>
      <c r="V397" s="482"/>
      <c r="W397" s="483"/>
      <c r="X397" s="482"/>
      <c r="Y397" s="482"/>
      <c r="Z397" s="482"/>
      <c r="AA397" s="482"/>
      <c r="AB397" s="482"/>
      <c r="AC397" s="482"/>
      <c r="AD397" s="482"/>
      <c r="AE397" s="482"/>
      <c r="AF397" s="482"/>
      <c r="AG397" s="482"/>
      <c r="AH397" s="482"/>
      <c r="AI397" s="482"/>
      <c r="AJ397" s="482"/>
      <c r="AK397" s="482"/>
      <c r="AL397" s="482"/>
      <c r="AM397" s="482"/>
      <c r="AN397" s="482"/>
      <c r="AO397" s="482"/>
      <c r="AP397" s="482"/>
      <c r="AQ397" s="482"/>
      <c r="AR397" s="482"/>
      <c r="AS397" s="482"/>
      <c r="AT397" s="482"/>
      <c r="AU397" s="482"/>
      <c r="AV397" s="482"/>
      <c r="AW397" s="482"/>
      <c r="AX397" s="482"/>
      <c r="AY397" s="486" t="str">
        <f t="shared" si="23"/>
        <v/>
      </c>
      <c r="AZ397" s="487" t="str">
        <f t="shared" si="22"/>
        <v/>
      </c>
      <c r="BA397" s="482"/>
      <c r="BB397" s="482"/>
      <c r="BC397" s="482"/>
      <c r="BD397" s="482"/>
      <c r="BE397" s="482"/>
      <c r="BF397" s="482"/>
      <c r="BG397" s="482"/>
      <c r="BH397" s="482"/>
      <c r="BI397" s="482"/>
      <c r="BJ397" s="482"/>
      <c r="BK397" s="482"/>
      <c r="BL397" s="482"/>
      <c r="BM397" s="482"/>
      <c r="BN397" s="482"/>
      <c r="BO397" s="482"/>
      <c r="BP397" s="482"/>
      <c r="BQ397" s="482"/>
      <c r="BR397" s="482"/>
      <c r="BS397" s="482"/>
      <c r="BT397" s="482"/>
      <c r="BU397" s="482"/>
      <c r="BV397" s="482"/>
      <c r="BW397" s="482"/>
      <c r="BX397" s="482"/>
      <c r="BY397" s="482"/>
      <c r="BZ397" s="482"/>
      <c r="CA397" s="482"/>
      <c r="CB397" s="482"/>
      <c r="CC397" s="482"/>
      <c r="CD397" s="482"/>
      <c r="CE397" s="482"/>
      <c r="CF397" s="482"/>
      <c r="CG397" s="482"/>
      <c r="CH397" s="484"/>
    </row>
    <row r="398" spans="1:90" s="469" customFormat="1" ht="12" customHeight="1" x14ac:dyDescent="0.15">
      <c r="A398" s="471" t="s">
        <v>3263</v>
      </c>
      <c r="B398" s="472">
        <v>42497</v>
      </c>
      <c r="C398" s="471" t="s">
        <v>3719</v>
      </c>
      <c r="D398" s="471" t="s">
        <v>3721</v>
      </c>
      <c r="E398" s="471" t="s">
        <v>3720</v>
      </c>
      <c r="F398" s="471" t="s">
        <v>993</v>
      </c>
      <c r="G398" s="473">
        <v>3</v>
      </c>
      <c r="H398" s="474">
        <v>4.5</v>
      </c>
      <c r="I398" s="475"/>
      <c r="J398" s="475"/>
      <c r="K398" s="473">
        <v>8</v>
      </c>
      <c r="L398" s="485" t="s">
        <v>431</v>
      </c>
      <c r="M398" s="476">
        <v>24000</v>
      </c>
      <c r="N398" s="471" t="s">
        <v>4578</v>
      </c>
      <c r="O398" s="477" t="s">
        <v>431</v>
      </c>
      <c r="P398" s="478" t="s">
        <v>431</v>
      </c>
      <c r="Q398" s="479" t="s">
        <v>431</v>
      </c>
      <c r="R398" s="480" t="s">
        <v>431</v>
      </c>
      <c r="S398" s="477"/>
      <c r="T398" s="481" t="s">
        <v>4736</v>
      </c>
      <c r="U398" s="482"/>
      <c r="V398" s="482"/>
      <c r="W398" s="483"/>
      <c r="X398" s="482"/>
      <c r="Y398" s="482"/>
      <c r="Z398" s="482"/>
      <c r="AA398" s="482"/>
      <c r="AB398" s="482"/>
      <c r="AC398" s="482"/>
      <c r="AD398" s="482"/>
      <c r="AE398" s="482"/>
      <c r="AF398" s="482"/>
      <c r="AG398" s="482"/>
      <c r="AH398" s="482"/>
      <c r="AI398" s="482"/>
      <c r="AJ398" s="482"/>
      <c r="AK398" s="482"/>
      <c r="AL398" s="482"/>
      <c r="AM398" s="482"/>
      <c r="AN398" s="482"/>
      <c r="AO398" s="482"/>
      <c r="AP398" s="482"/>
      <c r="AQ398" s="482"/>
      <c r="AR398" s="482"/>
      <c r="AS398" s="482"/>
      <c r="AT398" s="482"/>
      <c r="AU398" s="482"/>
      <c r="AV398" s="482"/>
      <c r="AW398" s="482"/>
      <c r="AX398" s="482"/>
      <c r="AY398" s="486" t="str">
        <f t="shared" si="23"/>
        <v/>
      </c>
      <c r="AZ398" s="487" t="str">
        <f t="shared" si="22"/>
        <v/>
      </c>
      <c r="BA398" s="482"/>
      <c r="BB398" s="482"/>
      <c r="BC398" s="482"/>
      <c r="BD398" s="482"/>
      <c r="BE398" s="482"/>
      <c r="BF398" s="482"/>
      <c r="BG398" s="482"/>
      <c r="BH398" s="482"/>
      <c r="BI398" s="482"/>
      <c r="BJ398" s="482"/>
      <c r="BK398" s="482"/>
      <c r="BL398" s="482"/>
      <c r="BM398" s="482"/>
      <c r="BN398" s="482"/>
      <c r="BO398" s="482"/>
      <c r="BP398" s="482"/>
      <c r="BQ398" s="482"/>
      <c r="BR398" s="482"/>
      <c r="BS398" s="482"/>
      <c r="BT398" s="482"/>
      <c r="BU398" s="482"/>
      <c r="BV398" s="482"/>
      <c r="BW398" s="482"/>
      <c r="BX398" s="482"/>
      <c r="BY398" s="482"/>
      <c r="BZ398" s="482"/>
      <c r="CA398" s="482"/>
      <c r="CB398" s="482"/>
      <c r="CC398" s="482"/>
      <c r="CD398" s="482"/>
      <c r="CE398" s="482"/>
      <c r="CF398" s="482"/>
      <c r="CG398" s="482"/>
      <c r="CH398" s="484"/>
    </row>
    <row r="399" spans="1:90" s="469" customFormat="1" ht="12" customHeight="1" x14ac:dyDescent="0.15">
      <c r="A399" s="351" t="s">
        <v>1953</v>
      </c>
      <c r="B399" s="603">
        <v>42498</v>
      </c>
      <c r="C399" s="457" t="s">
        <v>4719</v>
      </c>
      <c r="D399" s="457" t="s">
        <v>4734</v>
      </c>
      <c r="E399" s="457" t="s">
        <v>3472</v>
      </c>
      <c r="F399" s="457" t="s">
        <v>2376</v>
      </c>
      <c r="G399" s="259">
        <v>2</v>
      </c>
      <c r="H399" s="604">
        <v>6</v>
      </c>
      <c r="I399" s="605"/>
      <c r="J399" s="605"/>
      <c r="K399" s="259">
        <v>6</v>
      </c>
      <c r="L399" s="606">
        <v>6</v>
      </c>
      <c r="M399" s="607">
        <v>19000</v>
      </c>
      <c r="N399" s="457" t="s">
        <v>4720</v>
      </c>
      <c r="O399" s="259">
        <v>5</v>
      </c>
      <c r="P399" s="608">
        <v>-13</v>
      </c>
      <c r="Q399" s="609">
        <v>8.4618055555555542E-4</v>
      </c>
      <c r="R399" s="607">
        <v>570</v>
      </c>
      <c r="S399" s="259"/>
      <c r="W399" s="610"/>
      <c r="AY399" s="486" t="str">
        <f t="shared" si="23"/>
        <v/>
      </c>
      <c r="AZ399" s="487" t="str">
        <f t="shared" si="22"/>
        <v/>
      </c>
      <c r="CH399" s="260"/>
    </row>
    <row r="400" spans="1:90" s="469" customFormat="1" ht="12" customHeight="1" x14ac:dyDescent="0.15">
      <c r="A400" s="444" t="s">
        <v>122</v>
      </c>
      <c r="B400" s="445">
        <v>42498</v>
      </c>
      <c r="C400" s="446" t="s">
        <v>4346</v>
      </c>
      <c r="D400" s="446" t="s">
        <v>4347</v>
      </c>
      <c r="E400" s="446" t="s">
        <v>4649</v>
      </c>
      <c r="F400" s="446" t="s">
        <v>1162</v>
      </c>
      <c r="G400" s="447">
        <v>2</v>
      </c>
      <c r="H400" s="448">
        <v>8.5</v>
      </c>
      <c r="I400" s="447" t="s">
        <v>1360</v>
      </c>
      <c r="J400" s="447"/>
      <c r="K400" s="447">
        <v>6</v>
      </c>
      <c r="L400" s="449">
        <v>4</v>
      </c>
      <c r="M400" s="450">
        <v>33000</v>
      </c>
      <c r="N400" s="446" t="s">
        <v>4486</v>
      </c>
      <c r="O400" s="447">
        <v>1</v>
      </c>
      <c r="P400" s="451">
        <v>1.75</v>
      </c>
      <c r="Q400" s="452">
        <v>1.2177083333333334E-3</v>
      </c>
      <c r="R400" s="450">
        <v>19800</v>
      </c>
      <c r="S400" s="447"/>
      <c r="T400" s="453"/>
      <c r="U400" s="454"/>
      <c r="V400" s="454"/>
      <c r="W400" s="455"/>
      <c r="X400" s="454"/>
      <c r="Y400" s="454"/>
      <c r="Z400" s="454"/>
      <c r="AA400" s="454"/>
      <c r="AB400" s="454"/>
      <c r="AC400" s="454"/>
      <c r="AD400" s="454"/>
      <c r="AE400" s="454"/>
      <c r="AF400" s="454"/>
      <c r="AG400" s="454"/>
      <c r="AH400" s="454"/>
      <c r="AI400" s="454"/>
      <c r="AJ400" s="454"/>
      <c r="AK400" s="454"/>
      <c r="AL400" s="454"/>
      <c r="AM400" s="454"/>
      <c r="AN400" s="454"/>
      <c r="AO400" s="454"/>
      <c r="AP400" s="454"/>
      <c r="AQ400" s="454"/>
      <c r="AR400" s="454"/>
      <c r="AS400" s="454"/>
      <c r="AT400" s="454"/>
      <c r="AU400" s="454"/>
      <c r="AV400" s="454"/>
      <c r="AW400" s="454"/>
      <c r="AX400" s="454"/>
      <c r="AY400" s="486" t="str">
        <f t="shared" si="23"/>
        <v/>
      </c>
      <c r="AZ400" s="487">
        <f t="shared" si="22"/>
        <v>1</v>
      </c>
      <c r="BA400" s="454"/>
      <c r="BB400" s="454"/>
      <c r="BC400" s="454"/>
      <c r="BD400" s="454"/>
      <c r="BE400" s="454"/>
      <c r="BF400" s="454"/>
      <c r="BG400" s="454"/>
      <c r="BH400" s="454"/>
      <c r="BI400" s="454"/>
      <c r="BJ400" s="454"/>
      <c r="BK400" s="454"/>
      <c r="BL400" s="454"/>
      <c r="BM400" s="454"/>
      <c r="BN400" s="454"/>
      <c r="BO400" s="454"/>
      <c r="BP400" s="454"/>
      <c r="BQ400" s="454"/>
      <c r="BR400" s="454"/>
      <c r="BS400" s="454"/>
      <c r="BT400" s="454"/>
      <c r="BU400" s="454"/>
      <c r="BV400" s="454"/>
      <c r="BW400" s="454"/>
      <c r="BX400" s="454"/>
      <c r="BY400" s="454"/>
      <c r="BZ400" s="454"/>
      <c r="CA400" s="454"/>
      <c r="CB400" s="454"/>
      <c r="CC400" s="454"/>
      <c r="CD400" s="454"/>
      <c r="CE400" s="454"/>
      <c r="CF400" s="454"/>
      <c r="CG400" s="454"/>
      <c r="CH400" s="456"/>
      <c r="CI400" s="454"/>
      <c r="CJ400" s="454"/>
      <c r="CK400" s="454"/>
      <c r="CL400" s="454"/>
    </row>
    <row r="401" spans="1:86" s="469" customFormat="1" ht="12" customHeight="1" x14ac:dyDescent="0.15">
      <c r="A401" s="351" t="s">
        <v>57</v>
      </c>
      <c r="B401" s="603">
        <v>42498</v>
      </c>
      <c r="C401" s="457" t="s">
        <v>4472</v>
      </c>
      <c r="D401" s="457" t="s">
        <v>4300</v>
      </c>
      <c r="E401" s="457" t="s">
        <v>4713</v>
      </c>
      <c r="F401" s="457" t="s">
        <v>788</v>
      </c>
      <c r="G401" s="259">
        <v>6</v>
      </c>
      <c r="H401" s="604">
        <v>5.5</v>
      </c>
      <c r="I401" s="605" t="s">
        <v>3730</v>
      </c>
      <c r="J401" s="605" t="s">
        <v>961</v>
      </c>
      <c r="K401" s="259">
        <v>14</v>
      </c>
      <c r="L401" s="606">
        <v>15</v>
      </c>
      <c r="M401" s="607">
        <v>25000</v>
      </c>
      <c r="N401" s="457" t="s">
        <v>4471</v>
      </c>
      <c r="O401" s="259">
        <v>8</v>
      </c>
      <c r="P401" s="608">
        <v>-7.25</v>
      </c>
      <c r="Q401" s="609">
        <v>7.6412037037037041E-4</v>
      </c>
      <c r="R401" s="607">
        <v>0</v>
      </c>
      <c r="S401" s="259"/>
      <c r="W401" s="610"/>
      <c r="AY401" s="486" t="str">
        <f t="shared" si="23"/>
        <v/>
      </c>
      <c r="AZ401" s="487" t="str">
        <f t="shared" si="22"/>
        <v/>
      </c>
      <c r="CH401" s="260"/>
    </row>
    <row r="402" spans="1:86" s="469" customFormat="1" ht="12" customHeight="1" x14ac:dyDescent="0.15">
      <c r="A402" s="351" t="s">
        <v>2467</v>
      </c>
      <c r="B402" s="603">
        <v>42498</v>
      </c>
      <c r="C402" s="457" t="s">
        <v>3186</v>
      </c>
      <c r="D402" s="457" t="s">
        <v>5144</v>
      </c>
      <c r="E402" s="457" t="s">
        <v>3228</v>
      </c>
      <c r="F402" s="457" t="s">
        <v>433</v>
      </c>
      <c r="G402" s="259">
        <v>4</v>
      </c>
      <c r="H402" s="604">
        <v>8.5</v>
      </c>
      <c r="I402" s="605" t="s">
        <v>959</v>
      </c>
      <c r="J402" s="605" t="s">
        <v>4366</v>
      </c>
      <c r="K402" s="259">
        <v>5</v>
      </c>
      <c r="L402" s="606">
        <v>8</v>
      </c>
      <c r="M402" s="607">
        <v>55000</v>
      </c>
      <c r="N402" s="457" t="s">
        <v>4506</v>
      </c>
      <c r="O402" s="259">
        <v>4</v>
      </c>
      <c r="P402" s="608">
        <v>-10.5</v>
      </c>
      <c r="Q402" s="609">
        <v>1.2321759259259258E-3</v>
      </c>
      <c r="R402" s="607">
        <v>2750</v>
      </c>
      <c r="S402" s="259"/>
      <c r="T402" s="469" t="s">
        <v>4714</v>
      </c>
      <c r="W402" s="610"/>
      <c r="AY402" s="486" t="str">
        <f t="shared" si="23"/>
        <v/>
      </c>
      <c r="AZ402" s="487" t="str">
        <f t="shared" si="22"/>
        <v/>
      </c>
      <c r="CH402" s="260"/>
    </row>
    <row r="403" spans="1:86" s="461" customFormat="1" ht="12" customHeight="1" x14ac:dyDescent="0.15">
      <c r="A403" s="522" t="s">
        <v>3932</v>
      </c>
      <c r="B403" s="467">
        <v>42498</v>
      </c>
      <c r="C403" s="468" t="s">
        <v>3952</v>
      </c>
      <c r="D403" s="468" t="s">
        <v>3948</v>
      </c>
      <c r="E403" s="468" t="s">
        <v>4703</v>
      </c>
      <c r="F403" s="468" t="s">
        <v>4738</v>
      </c>
      <c r="G403" s="466">
        <v>2</v>
      </c>
      <c r="H403" s="465">
        <v>6.5</v>
      </c>
      <c r="I403" s="466"/>
      <c r="J403" s="466"/>
      <c r="K403" s="466">
        <v>14</v>
      </c>
      <c r="L403" s="465" t="s">
        <v>431</v>
      </c>
      <c r="M403" s="463">
        <v>1585</v>
      </c>
      <c r="N403" s="468" t="s">
        <v>3778</v>
      </c>
      <c r="O403" s="466">
        <v>10</v>
      </c>
      <c r="P403" s="523">
        <v>-12.75</v>
      </c>
      <c r="Q403" s="462">
        <v>9.1516203703703714E-4</v>
      </c>
      <c r="R403" s="463">
        <v>30</v>
      </c>
      <c r="S403" s="466" t="s">
        <v>625</v>
      </c>
      <c r="T403" s="524"/>
      <c r="W403" s="460"/>
      <c r="AY403" s="486">
        <f t="shared" si="23"/>
        <v>30</v>
      </c>
      <c r="AZ403" s="487" t="str">
        <f t="shared" si="22"/>
        <v/>
      </c>
      <c r="CH403" s="459"/>
    </row>
    <row r="404" spans="1:86" s="461" customFormat="1" ht="12" customHeight="1" x14ac:dyDescent="0.15">
      <c r="A404" s="522" t="s">
        <v>1831</v>
      </c>
      <c r="B404" s="467">
        <v>42500</v>
      </c>
      <c r="C404" s="468" t="s">
        <v>3704</v>
      </c>
      <c r="D404" s="468" t="s">
        <v>3705</v>
      </c>
      <c r="E404" s="468" t="s">
        <v>4741</v>
      </c>
      <c r="F404" s="468" t="s">
        <v>4171</v>
      </c>
      <c r="G404" s="466">
        <v>7</v>
      </c>
      <c r="H404" s="465">
        <v>8</v>
      </c>
      <c r="I404" s="466"/>
      <c r="J404" s="466"/>
      <c r="K404" s="466">
        <v>9</v>
      </c>
      <c r="L404" s="525">
        <f>5/2</f>
        <v>2.5</v>
      </c>
      <c r="M404" s="463">
        <v>25000</v>
      </c>
      <c r="N404" s="468" t="s">
        <v>3920</v>
      </c>
      <c r="O404" s="466">
        <v>2</v>
      </c>
      <c r="P404" s="523">
        <v>-1.5</v>
      </c>
      <c r="Q404" s="462">
        <v>1.1510416666666667E-3</v>
      </c>
      <c r="R404" s="463">
        <v>7000</v>
      </c>
      <c r="S404" s="466"/>
      <c r="T404" s="524" t="s">
        <v>4763</v>
      </c>
      <c r="W404" s="460"/>
      <c r="AY404" s="486" t="str">
        <f t="shared" si="23"/>
        <v/>
      </c>
      <c r="AZ404" s="487" t="str">
        <f t="shared" si="22"/>
        <v/>
      </c>
      <c r="CH404" s="459"/>
    </row>
    <row r="405" spans="1:86" s="469" customFormat="1" ht="12" customHeight="1" x14ac:dyDescent="0.15">
      <c r="A405" s="471" t="s">
        <v>2218</v>
      </c>
      <c r="B405" s="472">
        <v>42502</v>
      </c>
      <c r="C405" s="471" t="s">
        <v>4663</v>
      </c>
      <c r="D405" s="471" t="s">
        <v>4664</v>
      </c>
      <c r="E405" s="471" t="s">
        <v>3878</v>
      </c>
      <c r="F405" s="471" t="s">
        <v>1153</v>
      </c>
      <c r="G405" s="473">
        <v>4</v>
      </c>
      <c r="H405" s="474">
        <v>5</v>
      </c>
      <c r="I405" s="475" t="s">
        <v>3730</v>
      </c>
      <c r="J405" s="475"/>
      <c r="K405" s="473">
        <v>10</v>
      </c>
      <c r="L405" s="458">
        <v>15</v>
      </c>
      <c r="M405" s="476">
        <v>27000</v>
      </c>
      <c r="N405" s="471" t="s">
        <v>4752</v>
      </c>
      <c r="O405" s="477" t="s">
        <v>431</v>
      </c>
      <c r="P405" s="478" t="s">
        <v>431</v>
      </c>
      <c r="Q405" s="479" t="s">
        <v>431</v>
      </c>
      <c r="R405" s="480" t="s">
        <v>431</v>
      </c>
      <c r="S405" s="477"/>
      <c r="T405" s="481" t="s">
        <v>4785</v>
      </c>
      <c r="U405" s="482"/>
      <c r="V405" s="482"/>
      <c r="W405" s="483"/>
      <c r="X405" s="482"/>
      <c r="Y405" s="482"/>
      <c r="Z405" s="482"/>
      <c r="AA405" s="482"/>
      <c r="AB405" s="482"/>
      <c r="AC405" s="482"/>
      <c r="AD405" s="482"/>
      <c r="AE405" s="482"/>
      <c r="AF405" s="482"/>
      <c r="AG405" s="482"/>
      <c r="AH405" s="482"/>
      <c r="AI405" s="482"/>
      <c r="AJ405" s="482"/>
      <c r="AK405" s="482"/>
      <c r="AL405" s="482"/>
      <c r="AM405" s="482"/>
      <c r="AN405" s="482"/>
      <c r="AO405" s="482"/>
      <c r="AP405" s="482"/>
      <c r="AQ405" s="482"/>
      <c r="AR405" s="482"/>
      <c r="AS405" s="482"/>
      <c r="AT405" s="482"/>
      <c r="AU405" s="482"/>
      <c r="AV405" s="482"/>
      <c r="AW405" s="482"/>
      <c r="AX405" s="482"/>
      <c r="AY405" s="486" t="str">
        <f t="shared" si="23"/>
        <v/>
      </c>
      <c r="AZ405" s="487" t="str">
        <f t="shared" si="22"/>
        <v/>
      </c>
      <c r="BA405" s="482"/>
      <c r="BB405" s="482"/>
      <c r="BC405" s="482"/>
      <c r="BD405" s="482"/>
      <c r="BE405" s="482"/>
      <c r="BF405" s="482"/>
      <c r="BG405" s="482"/>
      <c r="BH405" s="482"/>
      <c r="BI405" s="482"/>
      <c r="BJ405" s="482"/>
      <c r="BK405" s="482"/>
      <c r="BL405" s="482"/>
      <c r="BM405" s="482"/>
      <c r="BN405" s="482"/>
      <c r="BO405" s="482"/>
      <c r="BP405" s="482"/>
      <c r="BQ405" s="482"/>
      <c r="BR405" s="482"/>
      <c r="BS405" s="482"/>
      <c r="BT405" s="482"/>
      <c r="BU405" s="482"/>
      <c r="BV405" s="482"/>
      <c r="BW405" s="482"/>
      <c r="BX405" s="482"/>
      <c r="BY405" s="482"/>
      <c r="BZ405" s="482"/>
      <c r="CA405" s="482"/>
      <c r="CB405" s="482"/>
      <c r="CC405" s="482"/>
      <c r="CD405" s="482"/>
      <c r="CE405" s="482"/>
      <c r="CF405" s="482"/>
      <c r="CG405" s="482"/>
      <c r="CH405" s="484"/>
    </row>
    <row r="406" spans="1:86" s="469" customFormat="1" ht="12" customHeight="1" x14ac:dyDescent="0.15">
      <c r="A406" s="471" t="s">
        <v>3899</v>
      </c>
      <c r="B406" s="472">
        <v>42502</v>
      </c>
      <c r="C406" s="471" t="s">
        <v>2341</v>
      </c>
      <c r="D406" s="471" t="s">
        <v>4494</v>
      </c>
      <c r="E406" s="471" t="s">
        <v>4743</v>
      </c>
      <c r="F406" s="471" t="s">
        <v>540</v>
      </c>
      <c r="G406" s="473">
        <v>8</v>
      </c>
      <c r="H406" s="474">
        <v>8</v>
      </c>
      <c r="I406" s="475" t="s">
        <v>3730</v>
      </c>
      <c r="J406" s="475"/>
      <c r="K406" s="473">
        <v>11</v>
      </c>
      <c r="L406" s="458">
        <v>15</v>
      </c>
      <c r="M406" s="476">
        <v>30000</v>
      </c>
      <c r="N406" s="471" t="s">
        <v>4597</v>
      </c>
      <c r="O406" s="477" t="s">
        <v>431</v>
      </c>
      <c r="P406" s="478" t="s">
        <v>431</v>
      </c>
      <c r="Q406" s="479" t="s">
        <v>431</v>
      </c>
      <c r="R406" s="480" t="s">
        <v>431</v>
      </c>
      <c r="S406" s="477"/>
      <c r="T406" s="481" t="s">
        <v>4785</v>
      </c>
      <c r="U406" s="482"/>
      <c r="V406" s="482"/>
      <c r="W406" s="483"/>
      <c r="X406" s="482"/>
      <c r="Y406" s="482"/>
      <c r="Z406" s="482"/>
      <c r="AA406" s="482"/>
      <c r="AB406" s="482"/>
      <c r="AC406" s="482"/>
      <c r="AD406" s="482"/>
      <c r="AE406" s="482"/>
      <c r="AF406" s="482"/>
      <c r="AG406" s="482"/>
      <c r="AH406" s="482"/>
      <c r="AI406" s="482"/>
      <c r="AJ406" s="482"/>
      <c r="AK406" s="482"/>
      <c r="AL406" s="482"/>
      <c r="AM406" s="482"/>
      <c r="AN406" s="482"/>
      <c r="AO406" s="482"/>
      <c r="AP406" s="482"/>
      <c r="AQ406" s="482"/>
      <c r="AR406" s="482"/>
      <c r="AS406" s="482"/>
      <c r="AT406" s="482"/>
      <c r="AU406" s="482"/>
      <c r="AV406" s="482"/>
      <c r="AW406" s="482"/>
      <c r="AX406" s="482"/>
      <c r="AY406" s="486" t="str">
        <f t="shared" si="23"/>
        <v/>
      </c>
      <c r="AZ406" s="487" t="str">
        <f t="shared" si="22"/>
        <v/>
      </c>
      <c r="BA406" s="482"/>
      <c r="BB406" s="482"/>
      <c r="BC406" s="482"/>
      <c r="BD406" s="482"/>
      <c r="BE406" s="482"/>
      <c r="BF406" s="482"/>
      <c r="BG406" s="482"/>
      <c r="BH406" s="482"/>
      <c r="BI406" s="482"/>
      <c r="BJ406" s="482"/>
      <c r="BK406" s="482"/>
      <c r="BL406" s="482"/>
      <c r="BM406" s="482"/>
      <c r="BN406" s="482"/>
      <c r="BO406" s="482"/>
      <c r="BP406" s="482"/>
      <c r="BQ406" s="482"/>
      <c r="BR406" s="482"/>
      <c r="BS406" s="482"/>
      <c r="BT406" s="482"/>
      <c r="BU406" s="482"/>
      <c r="BV406" s="482"/>
      <c r="BW406" s="482"/>
      <c r="BX406" s="482"/>
      <c r="BY406" s="482"/>
      <c r="BZ406" s="482"/>
      <c r="CA406" s="482"/>
      <c r="CB406" s="482"/>
      <c r="CC406" s="482"/>
      <c r="CD406" s="482"/>
      <c r="CE406" s="482"/>
      <c r="CF406" s="482"/>
      <c r="CG406" s="482"/>
      <c r="CH406" s="484"/>
    </row>
    <row r="407" spans="1:86" s="461" customFormat="1" ht="12" customHeight="1" x14ac:dyDescent="0.15">
      <c r="A407" s="522" t="s">
        <v>2278</v>
      </c>
      <c r="B407" s="467">
        <v>42502</v>
      </c>
      <c r="C407" s="468" t="s">
        <v>4747</v>
      </c>
      <c r="D407" s="468" t="s">
        <v>4742</v>
      </c>
      <c r="E407" s="468" t="s">
        <v>4744</v>
      </c>
      <c r="F407" s="468" t="s">
        <v>2376</v>
      </c>
      <c r="G407" s="466">
        <v>2</v>
      </c>
      <c r="H407" s="465">
        <v>6</v>
      </c>
      <c r="I407" s="466"/>
      <c r="J407" s="466"/>
      <c r="K407" s="466">
        <v>8</v>
      </c>
      <c r="L407" s="601">
        <v>3</v>
      </c>
      <c r="M407" s="463">
        <v>20900</v>
      </c>
      <c r="N407" s="468" t="s">
        <v>4753</v>
      </c>
      <c r="O407" s="466">
        <v>4</v>
      </c>
      <c r="P407" s="523">
        <v>-8</v>
      </c>
      <c r="Q407" s="462">
        <v>8.3657407407407422E-4</v>
      </c>
      <c r="R407" s="463">
        <v>2299</v>
      </c>
      <c r="S407" s="466"/>
      <c r="T407" s="524" t="s">
        <v>3714</v>
      </c>
      <c r="W407" s="460"/>
      <c r="AY407" s="486" t="str">
        <f t="shared" si="23"/>
        <v/>
      </c>
      <c r="AZ407" s="487" t="str">
        <f t="shared" si="22"/>
        <v/>
      </c>
      <c r="CH407" s="459"/>
    </row>
    <row r="408" spans="1:86" s="469" customFormat="1" ht="12" customHeight="1" x14ac:dyDescent="0.15">
      <c r="A408" s="471" t="s">
        <v>2228</v>
      </c>
      <c r="B408" s="472">
        <v>42502</v>
      </c>
      <c r="C408" s="471" t="s">
        <v>3866</v>
      </c>
      <c r="D408" s="471" t="s">
        <v>4491</v>
      </c>
      <c r="E408" s="471" t="s">
        <v>4492</v>
      </c>
      <c r="F408" s="471" t="s">
        <v>993</v>
      </c>
      <c r="G408" s="473">
        <v>2</v>
      </c>
      <c r="H408" s="474">
        <v>4.5</v>
      </c>
      <c r="I408" s="475"/>
      <c r="J408" s="475"/>
      <c r="K408" s="473">
        <v>9</v>
      </c>
      <c r="L408" s="458">
        <f>5/2</f>
        <v>2.5</v>
      </c>
      <c r="M408" s="476">
        <v>10000</v>
      </c>
      <c r="N408" s="471" t="s">
        <v>4755</v>
      </c>
      <c r="O408" s="477" t="s">
        <v>431</v>
      </c>
      <c r="P408" s="478" t="s">
        <v>431</v>
      </c>
      <c r="Q408" s="479" t="s">
        <v>431</v>
      </c>
      <c r="R408" s="480" t="s">
        <v>431</v>
      </c>
      <c r="S408" s="477"/>
      <c r="T408" s="481" t="s">
        <v>4784</v>
      </c>
      <c r="U408" s="482"/>
      <c r="V408" s="482"/>
      <c r="W408" s="483"/>
      <c r="X408" s="482"/>
      <c r="Y408" s="482"/>
      <c r="Z408" s="482"/>
      <c r="AA408" s="482"/>
      <c r="AB408" s="482"/>
      <c r="AC408" s="482"/>
      <c r="AD408" s="482"/>
      <c r="AE408" s="482"/>
      <c r="AF408" s="482"/>
      <c r="AG408" s="482"/>
      <c r="AH408" s="482"/>
      <c r="AI408" s="482"/>
      <c r="AJ408" s="482"/>
      <c r="AK408" s="482"/>
      <c r="AL408" s="482"/>
      <c r="AM408" s="482"/>
      <c r="AN408" s="482"/>
      <c r="AO408" s="482"/>
      <c r="AP408" s="482"/>
      <c r="AQ408" s="482"/>
      <c r="AR408" s="482"/>
      <c r="AS408" s="482"/>
      <c r="AT408" s="482"/>
      <c r="AU408" s="482"/>
      <c r="AV408" s="482"/>
      <c r="AW408" s="482"/>
      <c r="AX408" s="482"/>
      <c r="AY408" s="486" t="str">
        <f t="shared" si="23"/>
        <v/>
      </c>
      <c r="AZ408" s="487" t="str">
        <f t="shared" si="22"/>
        <v/>
      </c>
      <c r="BA408" s="482"/>
      <c r="BB408" s="482"/>
      <c r="BC408" s="482"/>
      <c r="BD408" s="482"/>
      <c r="BE408" s="482"/>
      <c r="BF408" s="482"/>
      <c r="BG408" s="482"/>
      <c r="BH408" s="482"/>
      <c r="BI408" s="482"/>
      <c r="BJ408" s="482"/>
      <c r="BK408" s="482"/>
      <c r="BL408" s="482"/>
      <c r="BM408" s="482"/>
      <c r="BN408" s="482"/>
      <c r="BO408" s="482"/>
      <c r="BP408" s="482"/>
      <c r="BQ408" s="482"/>
      <c r="BR408" s="482"/>
      <c r="BS408" s="482"/>
      <c r="BT408" s="482"/>
      <c r="BU408" s="482"/>
      <c r="BV408" s="482"/>
      <c r="BW408" s="482"/>
      <c r="BX408" s="482"/>
      <c r="BY408" s="482"/>
      <c r="BZ408" s="482"/>
      <c r="CA408" s="482"/>
      <c r="CB408" s="482"/>
      <c r="CC408" s="482"/>
      <c r="CD408" s="482"/>
      <c r="CE408" s="482"/>
      <c r="CF408" s="482"/>
      <c r="CG408" s="482"/>
      <c r="CH408" s="484"/>
    </row>
    <row r="409" spans="1:86" s="461" customFormat="1" ht="12" customHeight="1" x14ac:dyDescent="0.15">
      <c r="A409" s="522" t="s">
        <v>33</v>
      </c>
      <c r="B409" s="467">
        <v>42502</v>
      </c>
      <c r="C409" s="468" t="s">
        <v>3715</v>
      </c>
      <c r="D409" s="468" t="s">
        <v>3716</v>
      </c>
      <c r="E409" s="468" t="s">
        <v>3717</v>
      </c>
      <c r="F409" s="468" t="s">
        <v>575</v>
      </c>
      <c r="G409" s="466">
        <v>6</v>
      </c>
      <c r="H409" s="465">
        <v>7</v>
      </c>
      <c r="I409" s="466"/>
      <c r="J409" s="466"/>
      <c r="K409" s="466">
        <v>9</v>
      </c>
      <c r="L409" s="601">
        <v>10</v>
      </c>
      <c r="M409" s="463">
        <v>18000</v>
      </c>
      <c r="N409" s="468" t="s">
        <v>4761</v>
      </c>
      <c r="O409" s="466">
        <v>6</v>
      </c>
      <c r="P409" s="523">
        <v>12.25</v>
      </c>
      <c r="Q409" s="462">
        <v>9.6805555555555566E-4</v>
      </c>
      <c r="R409" s="463">
        <v>90</v>
      </c>
      <c r="S409" s="466"/>
      <c r="T409" s="524"/>
      <c r="W409" s="460"/>
      <c r="AY409" s="486"/>
      <c r="AZ409" s="487"/>
      <c r="CH409" s="459"/>
    </row>
    <row r="410" spans="1:86" s="461" customFormat="1" ht="12" customHeight="1" x14ac:dyDescent="0.15">
      <c r="A410" s="522" t="s">
        <v>3064</v>
      </c>
      <c r="B410" s="467">
        <v>42503</v>
      </c>
      <c r="C410" s="468" t="s">
        <v>2511</v>
      </c>
      <c r="D410" s="468" t="s">
        <v>3877</v>
      </c>
      <c r="E410" s="468" t="s">
        <v>4337</v>
      </c>
      <c r="F410" s="468" t="s">
        <v>1153</v>
      </c>
      <c r="G410" s="466">
        <v>6</v>
      </c>
      <c r="H410" s="465">
        <v>6</v>
      </c>
      <c r="I410" s="466"/>
      <c r="J410" s="466" t="s">
        <v>4366</v>
      </c>
      <c r="K410" s="466">
        <v>8</v>
      </c>
      <c r="L410" s="601">
        <v>30</v>
      </c>
      <c r="M410" s="463">
        <v>40000</v>
      </c>
      <c r="N410" s="468" t="s">
        <v>3879</v>
      </c>
      <c r="O410" s="466">
        <v>4</v>
      </c>
      <c r="P410" s="523">
        <v>-14.5</v>
      </c>
      <c r="Q410" s="462">
        <v>8.2199074074074075E-4</v>
      </c>
      <c r="R410" s="463">
        <v>2400</v>
      </c>
      <c r="S410" s="466"/>
      <c r="T410" s="524"/>
      <c r="W410" s="460"/>
      <c r="AY410" s="486" t="str">
        <f>IF(S410="","",R410)</f>
        <v/>
      </c>
      <c r="AZ410" s="487" t="str">
        <f>IF(F410="Pleasant Meadows","",IF(L410="","",IF(O410="--","",IF(O410=1,1,""))))</f>
        <v/>
      </c>
      <c r="CH410" s="459"/>
    </row>
    <row r="411" spans="1:86" s="461" customFormat="1" ht="12" customHeight="1" x14ac:dyDescent="0.15">
      <c r="A411" s="522" t="s">
        <v>21</v>
      </c>
      <c r="B411" s="467">
        <v>42503</v>
      </c>
      <c r="C411" s="468" t="s">
        <v>4322</v>
      </c>
      <c r="D411" s="468" t="s">
        <v>4323</v>
      </c>
      <c r="E411" s="468" t="s">
        <v>4745</v>
      </c>
      <c r="F411" s="468" t="s">
        <v>775</v>
      </c>
      <c r="G411" s="466">
        <v>6</v>
      </c>
      <c r="H411" s="465">
        <v>8</v>
      </c>
      <c r="I411" s="466" t="s">
        <v>3730</v>
      </c>
      <c r="J411" s="466"/>
      <c r="K411" s="466">
        <v>10</v>
      </c>
      <c r="L411" s="601">
        <f>5/2</f>
        <v>2.5</v>
      </c>
      <c r="M411" s="463">
        <v>24000</v>
      </c>
      <c r="N411" s="468" t="s">
        <v>2230</v>
      </c>
      <c r="O411" s="466">
        <v>7</v>
      </c>
      <c r="P411" s="523">
        <v>-5</v>
      </c>
      <c r="Q411" s="462">
        <v>1.1063657407407409E-3</v>
      </c>
      <c r="R411" s="463">
        <v>0</v>
      </c>
      <c r="S411" s="466"/>
      <c r="T411" s="524" t="s">
        <v>4803</v>
      </c>
      <c r="W411" s="460"/>
      <c r="AY411" s="486" t="str">
        <f>IF(S411="","",R411)</f>
        <v/>
      </c>
      <c r="AZ411" s="487" t="str">
        <f>IF(F411="Pleasant Meadows","",IF(L411="","",IF(O411="--","",IF(O411=1,1,""))))</f>
        <v/>
      </c>
      <c r="CH411" s="459"/>
    </row>
    <row r="412" spans="1:86" s="469" customFormat="1" ht="12" customHeight="1" x14ac:dyDescent="0.15">
      <c r="A412" s="471" t="s">
        <v>42</v>
      </c>
      <c r="B412" s="472">
        <v>42503</v>
      </c>
      <c r="C412" s="471" t="s">
        <v>3765</v>
      </c>
      <c r="D412" s="471" t="s">
        <v>3764</v>
      </c>
      <c r="E412" s="471" t="s">
        <v>4746</v>
      </c>
      <c r="F412" s="471" t="s">
        <v>775</v>
      </c>
      <c r="G412" s="473">
        <v>6</v>
      </c>
      <c r="H412" s="474">
        <v>8</v>
      </c>
      <c r="I412" s="475" t="s">
        <v>3730</v>
      </c>
      <c r="J412" s="475"/>
      <c r="K412" s="473">
        <v>12</v>
      </c>
      <c r="L412" s="458">
        <v>30</v>
      </c>
      <c r="M412" s="476">
        <v>24000</v>
      </c>
      <c r="N412" s="471" t="s">
        <v>2230</v>
      </c>
      <c r="O412" s="477" t="s">
        <v>431</v>
      </c>
      <c r="P412" s="478" t="s">
        <v>431</v>
      </c>
      <c r="Q412" s="479" t="s">
        <v>431</v>
      </c>
      <c r="R412" s="480" t="s">
        <v>431</v>
      </c>
      <c r="S412" s="477"/>
      <c r="T412" s="481" t="s">
        <v>4801</v>
      </c>
      <c r="U412" s="482"/>
      <c r="V412" s="482"/>
      <c r="W412" s="483"/>
      <c r="X412" s="482"/>
      <c r="Y412" s="482"/>
      <c r="Z412" s="482"/>
      <c r="AA412" s="482"/>
      <c r="AB412" s="482"/>
      <c r="AC412" s="482"/>
      <c r="AD412" s="482"/>
      <c r="AE412" s="482"/>
      <c r="AF412" s="482"/>
      <c r="AG412" s="482"/>
      <c r="AH412" s="482"/>
      <c r="AI412" s="482"/>
      <c r="AJ412" s="482"/>
      <c r="AK412" s="482"/>
      <c r="AL412" s="482"/>
      <c r="AM412" s="482"/>
      <c r="AN412" s="482"/>
      <c r="AO412" s="482"/>
      <c r="AP412" s="482"/>
      <c r="AQ412" s="482"/>
      <c r="AR412" s="482"/>
      <c r="AS412" s="482"/>
      <c r="AT412" s="482"/>
      <c r="AU412" s="482"/>
      <c r="AV412" s="482"/>
      <c r="AW412" s="482"/>
      <c r="AX412" s="482"/>
      <c r="AY412" s="486" t="str">
        <f>IF(S412="","",R412)</f>
        <v/>
      </c>
      <c r="AZ412" s="487" t="str">
        <f>IF(F412="Pleasant Meadows","",IF(L412="","",IF(O412="--","",IF(O412=1,1,""))))</f>
        <v/>
      </c>
      <c r="BA412" s="482"/>
      <c r="BB412" s="482"/>
      <c r="BC412" s="482"/>
      <c r="BD412" s="482"/>
      <c r="BE412" s="482"/>
      <c r="BF412" s="482"/>
      <c r="BG412" s="482"/>
      <c r="BH412" s="482"/>
      <c r="BI412" s="482"/>
      <c r="BJ412" s="482"/>
      <c r="BK412" s="482"/>
      <c r="BL412" s="482"/>
      <c r="BM412" s="482"/>
      <c r="BN412" s="482"/>
      <c r="BO412" s="482"/>
      <c r="BP412" s="482"/>
      <c r="BQ412" s="482"/>
      <c r="BR412" s="482"/>
      <c r="BS412" s="482"/>
      <c r="BT412" s="482"/>
      <c r="BU412" s="482"/>
      <c r="BV412" s="482"/>
      <c r="BW412" s="482"/>
      <c r="BX412" s="482"/>
      <c r="BY412" s="482"/>
      <c r="BZ412" s="482"/>
      <c r="CA412" s="482"/>
      <c r="CB412" s="482"/>
      <c r="CC412" s="482"/>
      <c r="CD412" s="482"/>
      <c r="CE412" s="482"/>
      <c r="CF412" s="482"/>
      <c r="CG412" s="482"/>
      <c r="CH412" s="484"/>
    </row>
    <row r="413" spans="1:86" s="461" customFormat="1" ht="12" customHeight="1" x14ac:dyDescent="0.15">
      <c r="A413" s="522" t="s">
        <v>2176</v>
      </c>
      <c r="B413" s="467">
        <v>42503</v>
      </c>
      <c r="C413" s="468" t="s">
        <v>4739</v>
      </c>
      <c r="D413" s="468" t="s">
        <v>4595</v>
      </c>
      <c r="E413" s="468" t="s">
        <v>4596</v>
      </c>
      <c r="F413" s="468" t="s">
        <v>2376</v>
      </c>
      <c r="G413" s="466">
        <v>7</v>
      </c>
      <c r="H413" s="465">
        <v>6</v>
      </c>
      <c r="I413" s="466"/>
      <c r="J413" s="466" t="s">
        <v>961</v>
      </c>
      <c r="K413" s="466">
        <v>9</v>
      </c>
      <c r="L413" s="601">
        <v>5</v>
      </c>
      <c r="M413" s="463">
        <v>10500</v>
      </c>
      <c r="N413" s="468" t="s">
        <v>4897</v>
      </c>
      <c r="O413" s="466">
        <v>2</v>
      </c>
      <c r="P413" s="523">
        <v>-3.75</v>
      </c>
      <c r="Q413" s="462">
        <v>8.5324074074074078E-4</v>
      </c>
      <c r="R413" s="463">
        <v>2520</v>
      </c>
      <c r="S413" s="466"/>
      <c r="T413" s="524"/>
      <c r="W413" s="460"/>
      <c r="AY413" s="486" t="str">
        <f>IF(S413="","",R413)</f>
        <v/>
      </c>
      <c r="AZ413" s="487" t="str">
        <f>IF(F413="Pleasant Meadows","",IF(L413="","",IF(O413="--","",IF(O413=1,1,""))))</f>
        <v/>
      </c>
      <c r="CH413" s="459"/>
    </row>
    <row r="414" spans="1:86" s="469" customFormat="1" ht="12" customHeight="1" x14ac:dyDescent="0.15">
      <c r="A414" s="471" t="s">
        <v>3263</v>
      </c>
      <c r="B414" s="472">
        <v>42503</v>
      </c>
      <c r="C414" s="471" t="s">
        <v>3719</v>
      </c>
      <c r="D414" s="471" t="s">
        <v>3721</v>
      </c>
      <c r="E414" s="471" t="s">
        <v>3720</v>
      </c>
      <c r="F414" s="471" t="s">
        <v>993</v>
      </c>
      <c r="G414" s="473">
        <v>7</v>
      </c>
      <c r="H414" s="474">
        <v>4.5</v>
      </c>
      <c r="I414" s="475"/>
      <c r="J414" s="475"/>
      <c r="K414" s="473">
        <v>9</v>
      </c>
      <c r="L414" s="485" t="s">
        <v>431</v>
      </c>
      <c r="M414" s="476">
        <v>24000</v>
      </c>
      <c r="N414" s="471" t="s">
        <v>4296</v>
      </c>
      <c r="O414" s="477" t="s">
        <v>431</v>
      </c>
      <c r="P414" s="478" t="s">
        <v>431</v>
      </c>
      <c r="Q414" s="479" t="s">
        <v>431</v>
      </c>
      <c r="R414" s="480" t="s">
        <v>431</v>
      </c>
      <c r="S414" s="477"/>
      <c r="T414" s="481" t="s">
        <v>4736</v>
      </c>
      <c r="U414" s="482"/>
      <c r="V414" s="482"/>
      <c r="W414" s="483"/>
      <c r="X414" s="482"/>
      <c r="Y414" s="482"/>
      <c r="Z414" s="482"/>
      <c r="AA414" s="482"/>
      <c r="AB414" s="482"/>
      <c r="AC414" s="482"/>
      <c r="AD414" s="482"/>
      <c r="AE414" s="482"/>
      <c r="AF414" s="482"/>
      <c r="AG414" s="482"/>
      <c r="AH414" s="482"/>
      <c r="AI414" s="482"/>
      <c r="AJ414" s="482"/>
      <c r="AK414" s="482"/>
      <c r="AL414" s="482"/>
      <c r="AM414" s="482"/>
      <c r="AN414" s="482"/>
      <c r="AO414" s="482"/>
      <c r="AP414" s="482"/>
      <c r="AQ414" s="482"/>
      <c r="AR414" s="482"/>
      <c r="AS414" s="482"/>
      <c r="AT414" s="482"/>
      <c r="AU414" s="482"/>
      <c r="AV414" s="482"/>
      <c r="AW414" s="482"/>
      <c r="AX414" s="482"/>
      <c r="AY414" s="486"/>
      <c r="AZ414" s="487"/>
      <c r="BA414" s="482"/>
      <c r="BB414" s="482"/>
      <c r="BC414" s="482"/>
      <c r="BD414" s="482"/>
      <c r="BE414" s="482"/>
      <c r="BF414" s="482"/>
      <c r="BG414" s="482"/>
      <c r="BH414" s="482"/>
      <c r="BI414" s="482"/>
      <c r="BJ414" s="482"/>
      <c r="BK414" s="482"/>
      <c r="BL414" s="482"/>
      <c r="BM414" s="482"/>
      <c r="BN414" s="482"/>
      <c r="BO414" s="482"/>
      <c r="BP414" s="482"/>
      <c r="BQ414" s="482"/>
      <c r="BR414" s="482"/>
      <c r="BS414" s="482"/>
      <c r="BT414" s="482"/>
      <c r="BU414" s="482"/>
      <c r="BV414" s="482"/>
      <c r="BW414" s="482"/>
      <c r="BX414" s="482"/>
      <c r="BY414" s="482"/>
      <c r="BZ414" s="482"/>
      <c r="CA414" s="482"/>
      <c r="CB414" s="482"/>
      <c r="CC414" s="482"/>
      <c r="CD414" s="482"/>
      <c r="CE414" s="482"/>
      <c r="CF414" s="482"/>
      <c r="CG414" s="482"/>
      <c r="CH414" s="484"/>
    </row>
    <row r="415" spans="1:86" s="461" customFormat="1" ht="12" customHeight="1" x14ac:dyDescent="0.15">
      <c r="A415" s="522" t="s">
        <v>58</v>
      </c>
      <c r="B415" s="467">
        <v>42504</v>
      </c>
      <c r="C415" s="468" t="s">
        <v>4774</v>
      </c>
      <c r="D415" s="468" t="s">
        <v>4245</v>
      </c>
      <c r="E415" s="468" t="s">
        <v>4775</v>
      </c>
      <c r="F415" s="468" t="s">
        <v>3300</v>
      </c>
      <c r="G415" s="466">
        <v>2</v>
      </c>
      <c r="H415" s="465">
        <v>8.3000000000000007</v>
      </c>
      <c r="I415" s="466"/>
      <c r="J415" s="466"/>
      <c r="K415" s="466">
        <v>8</v>
      </c>
      <c r="L415" s="601">
        <f>9/5</f>
        <v>1.8</v>
      </c>
      <c r="M415" s="463">
        <v>15000</v>
      </c>
      <c r="N415" s="468" t="s">
        <v>197</v>
      </c>
      <c r="O415" s="466">
        <v>4</v>
      </c>
      <c r="P415" s="523">
        <v>-1.25</v>
      </c>
      <c r="Q415" s="462">
        <v>1.2357638888888889E-3</v>
      </c>
      <c r="R415" s="463">
        <v>750</v>
      </c>
      <c r="S415" s="466"/>
      <c r="T415" s="524" t="s">
        <v>3714</v>
      </c>
      <c r="W415" s="460"/>
      <c r="AY415" s="486"/>
      <c r="AZ415" s="487"/>
      <c r="CH415" s="459"/>
    </row>
    <row r="416" spans="1:86" s="461" customFormat="1" ht="12" customHeight="1" x14ac:dyDescent="0.15">
      <c r="A416" s="522" t="s">
        <v>3183</v>
      </c>
      <c r="B416" s="467">
        <v>42504</v>
      </c>
      <c r="C416" s="468" t="s">
        <v>4027</v>
      </c>
      <c r="D416" s="468" t="s">
        <v>4028</v>
      </c>
      <c r="E416" s="468" t="s">
        <v>4773</v>
      </c>
      <c r="F416" s="468" t="s">
        <v>540</v>
      </c>
      <c r="G416" s="466">
        <v>2</v>
      </c>
      <c r="H416" s="465">
        <v>8</v>
      </c>
      <c r="I416" s="466" t="s">
        <v>3730</v>
      </c>
      <c r="J416" s="466"/>
      <c r="K416" s="466">
        <v>8</v>
      </c>
      <c r="L416" s="601">
        <v>6</v>
      </c>
      <c r="M416" s="463">
        <v>30000</v>
      </c>
      <c r="N416" s="468" t="s">
        <v>4777</v>
      </c>
      <c r="O416" s="466">
        <v>4</v>
      </c>
      <c r="P416" s="523">
        <v>-4.5</v>
      </c>
      <c r="Q416" s="462">
        <v>1.0885416666666667E-3</v>
      </c>
      <c r="R416" s="463">
        <v>1300</v>
      </c>
      <c r="S416" s="466"/>
      <c r="T416" s="524"/>
      <c r="W416" s="460"/>
      <c r="AY416" s="486"/>
      <c r="AZ416" s="487"/>
      <c r="CH416" s="459"/>
    </row>
    <row r="417" spans="1:90" s="461" customFormat="1" ht="12" customHeight="1" x14ac:dyDescent="0.15">
      <c r="A417" s="522" t="s">
        <v>2475</v>
      </c>
      <c r="B417" s="467">
        <v>42504</v>
      </c>
      <c r="C417" s="468" t="s">
        <v>5176</v>
      </c>
      <c r="D417" s="468" t="s">
        <v>4772</v>
      </c>
      <c r="E417" s="468" t="s">
        <v>4600</v>
      </c>
      <c r="F417" s="468" t="s">
        <v>1153</v>
      </c>
      <c r="G417" s="466">
        <v>3</v>
      </c>
      <c r="H417" s="465">
        <v>6</v>
      </c>
      <c r="I417" s="466"/>
      <c r="J417" s="466"/>
      <c r="K417" s="466">
        <v>8</v>
      </c>
      <c r="L417" s="601">
        <v>8</v>
      </c>
      <c r="M417" s="463">
        <v>27000</v>
      </c>
      <c r="N417" s="468" t="s">
        <v>4776</v>
      </c>
      <c r="O417" s="466">
        <v>4</v>
      </c>
      <c r="P417" s="523">
        <v>-3.75</v>
      </c>
      <c r="Q417" s="462">
        <v>8.5289351851851845E-4</v>
      </c>
      <c r="R417" s="463">
        <v>1620</v>
      </c>
      <c r="S417" s="466"/>
      <c r="T417" s="524"/>
      <c r="W417" s="460"/>
      <c r="AY417" s="486"/>
      <c r="AZ417" s="487"/>
      <c r="CH417" s="459"/>
    </row>
    <row r="418" spans="1:90" s="461" customFormat="1" ht="12" customHeight="1" x14ac:dyDescent="0.15">
      <c r="A418" s="522" t="s">
        <v>3944</v>
      </c>
      <c r="B418" s="467">
        <v>42504</v>
      </c>
      <c r="C418" s="468" t="s">
        <v>3949</v>
      </c>
      <c r="D418" s="468" t="s">
        <v>3945</v>
      </c>
      <c r="E418" s="468" t="s">
        <v>3848</v>
      </c>
      <c r="F418" s="468" t="s">
        <v>3686</v>
      </c>
      <c r="G418" s="466">
        <v>6</v>
      </c>
      <c r="H418" s="465">
        <v>7</v>
      </c>
      <c r="I418" s="466"/>
      <c r="J418" s="466"/>
      <c r="K418" s="466">
        <v>9</v>
      </c>
      <c r="L418" s="601">
        <v>8</v>
      </c>
      <c r="M418" s="463">
        <v>6763</v>
      </c>
      <c r="N418" s="468" t="s">
        <v>3225</v>
      </c>
      <c r="O418" s="466">
        <v>8</v>
      </c>
      <c r="P418" s="523">
        <v>-21.25</v>
      </c>
      <c r="Q418" s="462">
        <v>9.774305555555556E-4</v>
      </c>
      <c r="R418" s="463">
        <v>99</v>
      </c>
      <c r="S418" s="466" t="s">
        <v>625</v>
      </c>
      <c r="T418" s="524"/>
      <c r="W418" s="460"/>
      <c r="AY418" s="486">
        <f t="shared" ref="AY418:AY426" si="24">IF(S418="","",R418)</f>
        <v>99</v>
      </c>
      <c r="AZ418" s="487" t="str">
        <f t="shared" ref="AZ418:AZ465" si="25">IF(F418="Pleasant Meadows","",IF(L418="","",IF(O418="--","",IF(O418=1,1,""))))</f>
        <v/>
      </c>
      <c r="CH418" s="459"/>
    </row>
    <row r="419" spans="1:90" s="461" customFormat="1" ht="12" customHeight="1" x14ac:dyDescent="0.15">
      <c r="A419" s="522" t="s">
        <v>4583</v>
      </c>
      <c r="B419" s="467">
        <v>42504</v>
      </c>
      <c r="C419" s="468" t="s">
        <v>2744</v>
      </c>
      <c r="D419" s="468" t="s">
        <v>3832</v>
      </c>
      <c r="E419" s="468" t="s">
        <v>3846</v>
      </c>
      <c r="F419" s="468" t="s">
        <v>3686</v>
      </c>
      <c r="G419" s="466">
        <v>7</v>
      </c>
      <c r="H419" s="465">
        <v>7</v>
      </c>
      <c r="I419" s="466"/>
      <c r="J419" s="466"/>
      <c r="K419" s="466">
        <v>9</v>
      </c>
      <c r="L419" s="601">
        <f>7/2</f>
        <v>3.5</v>
      </c>
      <c r="M419" s="463">
        <v>6763</v>
      </c>
      <c r="N419" s="468" t="s">
        <v>3225</v>
      </c>
      <c r="O419" s="466">
        <v>2</v>
      </c>
      <c r="P419" s="523">
        <v>-1</v>
      </c>
      <c r="Q419" s="462">
        <v>9.8576388888888889E-4</v>
      </c>
      <c r="R419" s="463">
        <v>1433</v>
      </c>
      <c r="S419" s="466" t="s">
        <v>625</v>
      </c>
      <c r="T419" s="524" t="s">
        <v>3755</v>
      </c>
      <c r="W419" s="460"/>
      <c r="AY419" s="486">
        <f t="shared" si="24"/>
        <v>1433</v>
      </c>
      <c r="AZ419" s="487" t="str">
        <f t="shared" si="25"/>
        <v/>
      </c>
      <c r="CH419" s="459"/>
    </row>
    <row r="420" spans="1:90" s="469" customFormat="1" ht="12" customHeight="1" x14ac:dyDescent="0.15">
      <c r="A420" s="444" t="s">
        <v>4011</v>
      </c>
      <c r="B420" s="445">
        <v>42504</v>
      </c>
      <c r="C420" s="446" t="s">
        <v>4018</v>
      </c>
      <c r="D420" s="446" t="s">
        <v>4017</v>
      </c>
      <c r="E420" s="446" t="s">
        <v>3699</v>
      </c>
      <c r="F420" s="446" t="s">
        <v>3686</v>
      </c>
      <c r="G420" s="447">
        <v>8</v>
      </c>
      <c r="H420" s="447">
        <v>6.5</v>
      </c>
      <c r="I420" s="447"/>
      <c r="J420" s="447"/>
      <c r="K420" s="447">
        <v>11</v>
      </c>
      <c r="L420" s="449">
        <v>5</v>
      </c>
      <c r="M420" s="450">
        <v>16626</v>
      </c>
      <c r="N420" s="446" t="s">
        <v>4759</v>
      </c>
      <c r="O420" s="447">
        <v>1</v>
      </c>
      <c r="P420" s="451" t="s">
        <v>4378</v>
      </c>
      <c r="Q420" s="452">
        <v>9.0370370370370355E-4</v>
      </c>
      <c r="R420" s="450">
        <v>10066</v>
      </c>
      <c r="S420" s="447" t="s">
        <v>625</v>
      </c>
      <c r="T420" s="453"/>
      <c r="U420" s="454"/>
      <c r="V420" s="454"/>
      <c r="W420" s="455"/>
      <c r="X420" s="454"/>
      <c r="Y420" s="454"/>
      <c r="Z420" s="454"/>
      <c r="AA420" s="454"/>
      <c r="AB420" s="454"/>
      <c r="AC420" s="454"/>
      <c r="AD420" s="454"/>
      <c r="AE420" s="454"/>
      <c r="AF420" s="454"/>
      <c r="AG420" s="454"/>
      <c r="AH420" s="454"/>
      <c r="AI420" s="454"/>
      <c r="AJ420" s="454"/>
      <c r="AK420" s="454"/>
      <c r="AL420" s="454"/>
      <c r="AM420" s="454"/>
      <c r="AN420" s="454"/>
      <c r="AO420" s="454"/>
      <c r="AP420" s="454"/>
      <c r="AQ420" s="454"/>
      <c r="AR420" s="454"/>
      <c r="AS420" s="454"/>
      <c r="AT420" s="454"/>
      <c r="AU420" s="454"/>
      <c r="AV420" s="454"/>
      <c r="AW420" s="454"/>
      <c r="AX420" s="454"/>
      <c r="AY420" s="486">
        <f t="shared" si="24"/>
        <v>10066</v>
      </c>
      <c r="AZ420" s="487">
        <f t="shared" si="25"/>
        <v>1</v>
      </c>
      <c r="BA420" s="454"/>
      <c r="BB420" s="454"/>
      <c r="BC420" s="454"/>
      <c r="BD420" s="454"/>
      <c r="BE420" s="454"/>
      <c r="BF420" s="454"/>
      <c r="BG420" s="454"/>
      <c r="BH420" s="454"/>
      <c r="BI420" s="454"/>
      <c r="BJ420" s="454"/>
      <c r="BK420" s="454"/>
      <c r="BL420" s="454"/>
      <c r="BM420" s="454"/>
      <c r="BN420" s="454"/>
      <c r="BO420" s="454"/>
      <c r="BP420" s="454"/>
      <c r="BQ420" s="454"/>
      <c r="BR420" s="454"/>
      <c r="BS420" s="454"/>
      <c r="BT420" s="454"/>
      <c r="BU420" s="454"/>
      <c r="BV420" s="454"/>
      <c r="BW420" s="454"/>
      <c r="BX420" s="454"/>
      <c r="BY420" s="454"/>
      <c r="BZ420" s="454"/>
      <c r="CA420" s="454"/>
      <c r="CB420" s="454"/>
      <c r="CC420" s="454"/>
      <c r="CD420" s="454"/>
      <c r="CE420" s="454"/>
      <c r="CF420" s="454"/>
      <c r="CG420" s="454"/>
      <c r="CH420" s="456"/>
      <c r="CI420" s="454"/>
      <c r="CJ420" s="454"/>
      <c r="CK420" s="454"/>
      <c r="CL420" s="454"/>
    </row>
    <row r="421" spans="1:90" s="461" customFormat="1" ht="12" customHeight="1" x14ac:dyDescent="0.15">
      <c r="A421" s="522" t="s">
        <v>3825</v>
      </c>
      <c r="B421" s="467">
        <v>42504</v>
      </c>
      <c r="C421" s="468" t="s">
        <v>3826</v>
      </c>
      <c r="D421" s="468" t="s">
        <v>3827</v>
      </c>
      <c r="E421" s="468" t="s">
        <v>3683</v>
      </c>
      <c r="F421" s="468" t="s">
        <v>3686</v>
      </c>
      <c r="G421" s="466">
        <v>8</v>
      </c>
      <c r="H421" s="465">
        <v>6.5</v>
      </c>
      <c r="I421" s="466"/>
      <c r="J421" s="466"/>
      <c r="K421" s="466">
        <v>11</v>
      </c>
      <c r="L421" s="601">
        <v>3</v>
      </c>
      <c r="M421" s="463">
        <v>16626</v>
      </c>
      <c r="N421" s="468" t="s">
        <v>4759</v>
      </c>
      <c r="O421" s="466">
        <v>4</v>
      </c>
      <c r="P421" s="523">
        <v>-1.75</v>
      </c>
      <c r="Q421" s="462">
        <v>9.0370370370370355E-4</v>
      </c>
      <c r="R421" s="463">
        <v>1007</v>
      </c>
      <c r="S421" s="466" t="s">
        <v>625</v>
      </c>
      <c r="T421" s="524" t="s">
        <v>4253</v>
      </c>
      <c r="W421" s="460"/>
      <c r="AY421" s="486">
        <f t="shared" si="24"/>
        <v>1007</v>
      </c>
      <c r="AZ421" s="487" t="str">
        <f t="shared" si="25"/>
        <v/>
      </c>
      <c r="CH421" s="459"/>
    </row>
    <row r="422" spans="1:90" s="461" customFormat="1" ht="12" customHeight="1" x14ac:dyDescent="0.15">
      <c r="A422" s="522" t="s">
        <v>3829</v>
      </c>
      <c r="B422" s="467">
        <v>42504</v>
      </c>
      <c r="C422" s="468" t="s">
        <v>2744</v>
      </c>
      <c r="D422" s="468" t="s">
        <v>3832</v>
      </c>
      <c r="E422" s="468" t="s">
        <v>3846</v>
      </c>
      <c r="F422" s="468" t="s">
        <v>3686</v>
      </c>
      <c r="G422" s="466">
        <v>10</v>
      </c>
      <c r="H422" s="465">
        <v>7.5</v>
      </c>
      <c r="I422" s="466"/>
      <c r="J422" s="466"/>
      <c r="K422" s="466">
        <v>14</v>
      </c>
      <c r="L422" s="601">
        <v>3</v>
      </c>
      <c r="M422" s="463">
        <v>5761</v>
      </c>
      <c r="N422" s="468" t="s">
        <v>3348</v>
      </c>
      <c r="O422" s="466">
        <v>2</v>
      </c>
      <c r="P422" s="523">
        <v>-2</v>
      </c>
      <c r="Q422" s="462">
        <v>9.8761574074074073E-4</v>
      </c>
      <c r="R422" s="463">
        <v>1221</v>
      </c>
      <c r="S422" s="466" t="s">
        <v>625</v>
      </c>
      <c r="T422" s="524" t="s">
        <v>4793</v>
      </c>
      <c r="W422" s="460"/>
      <c r="AY422" s="486">
        <f t="shared" si="24"/>
        <v>1221</v>
      </c>
      <c r="AZ422" s="487" t="str">
        <f t="shared" si="25"/>
        <v/>
      </c>
      <c r="CH422" s="459"/>
    </row>
    <row r="423" spans="1:90" s="461" customFormat="1" ht="12" customHeight="1" x14ac:dyDescent="0.15">
      <c r="A423" s="522" t="s">
        <v>4062</v>
      </c>
      <c r="B423" s="467">
        <v>42504</v>
      </c>
      <c r="C423" s="468" t="s">
        <v>2744</v>
      </c>
      <c r="D423" s="468" t="s">
        <v>3298</v>
      </c>
      <c r="E423" s="468" t="s">
        <v>3699</v>
      </c>
      <c r="F423" s="468" t="s">
        <v>3686</v>
      </c>
      <c r="G423" s="466">
        <v>10</v>
      </c>
      <c r="H423" s="465">
        <v>7.5</v>
      </c>
      <c r="I423" s="466"/>
      <c r="J423" s="466"/>
      <c r="K423" s="466">
        <v>14</v>
      </c>
      <c r="L423" s="601">
        <v>3</v>
      </c>
      <c r="M423" s="463">
        <v>5761</v>
      </c>
      <c r="N423" s="468" t="s">
        <v>3348</v>
      </c>
      <c r="O423" s="466">
        <v>5</v>
      </c>
      <c r="P423" s="523">
        <v>-4.75</v>
      </c>
      <c r="Q423" s="462">
        <v>9.8761574074074073E-4</v>
      </c>
      <c r="R423" s="463">
        <v>233</v>
      </c>
      <c r="S423" s="466" t="s">
        <v>625</v>
      </c>
      <c r="T423" s="524" t="s">
        <v>4793</v>
      </c>
      <c r="W423" s="460"/>
      <c r="AY423" s="486">
        <f t="shared" si="24"/>
        <v>233</v>
      </c>
      <c r="AZ423" s="487" t="str">
        <f t="shared" si="25"/>
        <v/>
      </c>
      <c r="CH423" s="459"/>
    </row>
    <row r="424" spans="1:90" s="469" customFormat="1" ht="12" customHeight="1" x14ac:dyDescent="0.15">
      <c r="A424" s="471" t="s">
        <v>1381</v>
      </c>
      <c r="B424" s="472">
        <v>42504</v>
      </c>
      <c r="C424" s="471" t="s">
        <v>4512</v>
      </c>
      <c r="D424" s="471" t="s">
        <v>4511</v>
      </c>
      <c r="E424" s="471" t="s">
        <v>4513</v>
      </c>
      <c r="F424" s="471" t="s">
        <v>2377</v>
      </c>
      <c r="G424" s="473">
        <v>1</v>
      </c>
      <c r="H424" s="474">
        <v>5</v>
      </c>
      <c r="I424" s="475" t="s">
        <v>3730</v>
      </c>
      <c r="J424" s="475"/>
      <c r="K424" s="473">
        <v>10</v>
      </c>
      <c r="L424" s="458">
        <v>30</v>
      </c>
      <c r="M424" s="476">
        <v>12000</v>
      </c>
      <c r="N424" s="471" t="s">
        <v>4754</v>
      </c>
      <c r="O424" s="477" t="s">
        <v>431</v>
      </c>
      <c r="P424" s="478" t="s">
        <v>431</v>
      </c>
      <c r="Q424" s="479" t="s">
        <v>431</v>
      </c>
      <c r="R424" s="480" t="s">
        <v>431</v>
      </c>
      <c r="S424" s="477"/>
      <c r="T424" s="481" t="s">
        <v>3885</v>
      </c>
      <c r="U424" s="482"/>
      <c r="V424" s="482"/>
      <c r="W424" s="483"/>
      <c r="X424" s="482"/>
      <c r="Y424" s="482"/>
      <c r="Z424" s="482"/>
      <c r="AA424" s="482"/>
      <c r="AB424" s="482"/>
      <c r="AC424" s="482"/>
      <c r="AD424" s="482"/>
      <c r="AE424" s="482"/>
      <c r="AF424" s="482"/>
      <c r="AG424" s="482"/>
      <c r="AH424" s="482"/>
      <c r="AI424" s="482"/>
      <c r="AJ424" s="482"/>
      <c r="AK424" s="482"/>
      <c r="AL424" s="482"/>
      <c r="AM424" s="482"/>
      <c r="AN424" s="482"/>
      <c r="AO424" s="482"/>
      <c r="AP424" s="482"/>
      <c r="AQ424" s="482"/>
      <c r="AR424" s="482"/>
      <c r="AS424" s="482"/>
      <c r="AT424" s="482"/>
      <c r="AU424" s="482"/>
      <c r="AV424" s="482"/>
      <c r="AW424" s="482"/>
      <c r="AX424" s="482"/>
      <c r="AY424" s="486" t="str">
        <f t="shared" si="24"/>
        <v/>
      </c>
      <c r="AZ424" s="487" t="str">
        <f t="shared" si="25"/>
        <v/>
      </c>
      <c r="BA424" s="482"/>
      <c r="BB424" s="482"/>
      <c r="BC424" s="482"/>
      <c r="BD424" s="482"/>
      <c r="BE424" s="482"/>
      <c r="BF424" s="482"/>
      <c r="BG424" s="482"/>
      <c r="BH424" s="482"/>
      <c r="BI424" s="482"/>
      <c r="BJ424" s="482"/>
      <c r="BK424" s="482"/>
      <c r="BL424" s="482"/>
      <c r="BM424" s="482"/>
      <c r="BN424" s="482"/>
      <c r="BO424" s="482"/>
      <c r="BP424" s="482"/>
      <c r="BQ424" s="482"/>
      <c r="BR424" s="482"/>
      <c r="BS424" s="482"/>
      <c r="BT424" s="482"/>
      <c r="BU424" s="482"/>
      <c r="BV424" s="482"/>
      <c r="BW424" s="482"/>
      <c r="BX424" s="482"/>
      <c r="BY424" s="482"/>
      <c r="BZ424" s="482"/>
      <c r="CA424" s="482"/>
      <c r="CB424" s="482"/>
      <c r="CC424" s="482"/>
      <c r="CD424" s="482"/>
      <c r="CE424" s="482"/>
      <c r="CF424" s="482"/>
      <c r="CG424" s="482"/>
      <c r="CH424" s="484"/>
    </row>
    <row r="425" spans="1:90" s="469" customFormat="1" ht="12" customHeight="1" x14ac:dyDescent="0.15">
      <c r="A425" s="471" t="s">
        <v>4811</v>
      </c>
      <c r="B425" s="472">
        <v>42504</v>
      </c>
      <c r="C425" s="471" t="s">
        <v>4521</v>
      </c>
      <c r="D425" s="471" t="s">
        <v>3192</v>
      </c>
      <c r="E425" s="471" t="s">
        <v>4765</v>
      </c>
      <c r="F425" s="471" t="s">
        <v>3686</v>
      </c>
      <c r="G425" s="473">
        <v>14</v>
      </c>
      <c r="H425" s="474">
        <v>6</v>
      </c>
      <c r="I425" s="475"/>
      <c r="J425" s="475"/>
      <c r="K425" s="473">
        <v>14</v>
      </c>
      <c r="L425" s="458">
        <v>15</v>
      </c>
      <c r="M425" s="476">
        <v>6408</v>
      </c>
      <c r="N425" s="471" t="s">
        <v>3225</v>
      </c>
      <c r="O425" s="477" t="s">
        <v>431</v>
      </c>
      <c r="P425" s="478" t="s">
        <v>431</v>
      </c>
      <c r="Q425" s="479" t="s">
        <v>431</v>
      </c>
      <c r="R425" s="480" t="s">
        <v>431</v>
      </c>
      <c r="S425" s="477" t="s">
        <v>625</v>
      </c>
      <c r="T425" s="481" t="s">
        <v>3885</v>
      </c>
      <c r="U425" s="482"/>
      <c r="V425" s="482"/>
      <c r="W425" s="483"/>
      <c r="X425" s="482"/>
      <c r="Y425" s="482"/>
      <c r="Z425" s="482"/>
      <c r="AA425" s="482"/>
      <c r="AB425" s="482"/>
      <c r="AC425" s="482"/>
      <c r="AD425" s="482"/>
      <c r="AE425" s="482"/>
      <c r="AF425" s="482"/>
      <c r="AG425" s="482"/>
      <c r="AH425" s="482"/>
      <c r="AI425" s="482"/>
      <c r="AJ425" s="482"/>
      <c r="AK425" s="482"/>
      <c r="AL425" s="482"/>
      <c r="AM425" s="482"/>
      <c r="AN425" s="482"/>
      <c r="AO425" s="482"/>
      <c r="AP425" s="482"/>
      <c r="AQ425" s="482"/>
      <c r="AR425" s="482"/>
      <c r="AS425" s="482"/>
      <c r="AT425" s="482"/>
      <c r="AU425" s="482"/>
      <c r="AV425" s="482"/>
      <c r="AW425" s="482"/>
      <c r="AX425" s="482"/>
      <c r="AY425" s="486" t="str">
        <f t="shared" si="24"/>
        <v>--</v>
      </c>
      <c r="AZ425" s="487" t="str">
        <f t="shared" si="25"/>
        <v/>
      </c>
      <c r="BA425" s="482"/>
      <c r="BB425" s="482"/>
      <c r="BC425" s="482"/>
      <c r="BD425" s="482"/>
      <c r="BE425" s="482"/>
      <c r="BF425" s="482"/>
      <c r="BG425" s="482"/>
      <c r="BH425" s="482"/>
      <c r="BI425" s="482"/>
      <c r="BJ425" s="482"/>
      <c r="BK425" s="482"/>
      <c r="BL425" s="482"/>
      <c r="BM425" s="482"/>
      <c r="BN425" s="482"/>
      <c r="BO425" s="482"/>
      <c r="BP425" s="482"/>
      <c r="BQ425" s="482"/>
      <c r="BR425" s="482"/>
      <c r="BS425" s="482"/>
      <c r="BT425" s="482"/>
      <c r="BU425" s="482"/>
      <c r="BV425" s="482"/>
      <c r="BW425" s="482"/>
      <c r="BX425" s="482"/>
      <c r="BY425" s="482"/>
      <c r="BZ425" s="482"/>
      <c r="CA425" s="482"/>
      <c r="CB425" s="482"/>
      <c r="CC425" s="482"/>
      <c r="CD425" s="482"/>
      <c r="CE425" s="482"/>
      <c r="CF425" s="482"/>
      <c r="CG425" s="482"/>
      <c r="CH425" s="484"/>
    </row>
    <row r="426" spans="1:90" s="461" customFormat="1" ht="12" customHeight="1" x14ac:dyDescent="0.15">
      <c r="A426" s="522" t="s">
        <v>4756</v>
      </c>
      <c r="B426" s="467">
        <v>42505</v>
      </c>
      <c r="C426" s="468" t="s">
        <v>2744</v>
      </c>
      <c r="D426" s="468" t="s">
        <v>4757</v>
      </c>
      <c r="E426" s="468" t="s">
        <v>3846</v>
      </c>
      <c r="F426" s="468" t="s">
        <v>3686</v>
      </c>
      <c r="G426" s="466">
        <v>1</v>
      </c>
      <c r="H426" s="465">
        <v>5.5</v>
      </c>
      <c r="I426" s="466"/>
      <c r="J426" s="466"/>
      <c r="K426" s="466">
        <v>9</v>
      </c>
      <c r="L426" s="601">
        <f>9/2</f>
        <v>4.5</v>
      </c>
      <c r="M426" s="463">
        <v>9017</v>
      </c>
      <c r="N426" s="468" t="s">
        <v>4006</v>
      </c>
      <c r="O426" s="466">
        <v>4</v>
      </c>
      <c r="P426" s="523">
        <v>-16.75</v>
      </c>
      <c r="Q426" s="462">
        <v>7.6620370370370373E-4</v>
      </c>
      <c r="R426" s="463">
        <v>546</v>
      </c>
      <c r="S426" s="466" t="s">
        <v>625</v>
      </c>
      <c r="T426" s="524"/>
      <c r="W426" s="460"/>
      <c r="AY426" s="486">
        <f t="shared" si="24"/>
        <v>546</v>
      </c>
      <c r="AZ426" s="487" t="str">
        <f t="shared" si="25"/>
        <v/>
      </c>
      <c r="CH426" s="459"/>
    </row>
    <row r="427" spans="1:90" s="469" customFormat="1" ht="12" customHeight="1" x14ac:dyDescent="0.15">
      <c r="A427" s="471" t="s">
        <v>1710</v>
      </c>
      <c r="B427" s="472">
        <v>42505</v>
      </c>
      <c r="C427" s="471" t="s">
        <v>4789</v>
      </c>
      <c r="D427" s="471" t="s">
        <v>4790</v>
      </c>
      <c r="E427" s="471" t="s">
        <v>4791</v>
      </c>
      <c r="F427" s="471" t="s">
        <v>3300</v>
      </c>
      <c r="G427" s="473">
        <v>3</v>
      </c>
      <c r="H427" s="474">
        <v>8</v>
      </c>
      <c r="I427" s="475"/>
      <c r="J427" s="475"/>
      <c r="K427" s="473">
        <v>6</v>
      </c>
      <c r="L427" s="458">
        <v>15</v>
      </c>
      <c r="M427" s="476">
        <v>15800</v>
      </c>
      <c r="N427" s="471" t="s">
        <v>4792</v>
      </c>
      <c r="O427" s="477" t="s">
        <v>431</v>
      </c>
      <c r="P427" s="478" t="s">
        <v>431</v>
      </c>
      <c r="Q427" s="479" t="s">
        <v>431</v>
      </c>
      <c r="R427" s="480" t="s">
        <v>431</v>
      </c>
      <c r="S427" s="477"/>
      <c r="T427" s="481" t="s">
        <v>3885</v>
      </c>
      <c r="U427" s="482"/>
      <c r="V427" s="482"/>
      <c r="W427" s="483"/>
      <c r="X427" s="482"/>
      <c r="Y427" s="482"/>
      <c r="Z427" s="482"/>
      <c r="AA427" s="482"/>
      <c r="AB427" s="482"/>
      <c r="AC427" s="482"/>
      <c r="AD427" s="482"/>
      <c r="AE427" s="482"/>
      <c r="AF427" s="482"/>
      <c r="AG427" s="482"/>
      <c r="AH427" s="482"/>
      <c r="AI427" s="482"/>
      <c r="AJ427" s="482"/>
      <c r="AK427" s="482"/>
      <c r="AL427" s="482"/>
      <c r="AM427" s="482"/>
      <c r="AN427" s="482"/>
      <c r="AO427" s="482"/>
      <c r="AP427" s="482"/>
      <c r="AQ427" s="482"/>
      <c r="AR427" s="482"/>
      <c r="AS427" s="482"/>
      <c r="AT427" s="482"/>
      <c r="AU427" s="482"/>
      <c r="AV427" s="482"/>
      <c r="AW427" s="482"/>
      <c r="AX427" s="482"/>
      <c r="AY427" s="486"/>
      <c r="AZ427" s="487" t="str">
        <f t="shared" si="25"/>
        <v/>
      </c>
      <c r="BA427" s="482"/>
      <c r="BB427" s="482"/>
      <c r="BC427" s="482"/>
      <c r="BD427" s="482"/>
      <c r="BE427" s="482"/>
      <c r="BF427" s="482"/>
      <c r="BG427" s="482"/>
      <c r="BH427" s="482"/>
      <c r="BI427" s="482"/>
      <c r="BJ427" s="482"/>
      <c r="BK427" s="482"/>
      <c r="BL427" s="482"/>
      <c r="BM427" s="482"/>
      <c r="BN427" s="482"/>
      <c r="BO427" s="482"/>
      <c r="BP427" s="482"/>
      <c r="BQ427" s="482"/>
      <c r="BR427" s="482"/>
      <c r="BS427" s="482"/>
      <c r="BT427" s="482"/>
      <c r="BU427" s="482"/>
      <c r="BV427" s="482"/>
      <c r="BW427" s="482"/>
      <c r="BX427" s="482"/>
      <c r="BY427" s="482"/>
      <c r="BZ427" s="482"/>
      <c r="CA427" s="482"/>
      <c r="CB427" s="482"/>
      <c r="CC427" s="482"/>
      <c r="CD427" s="482"/>
      <c r="CE427" s="482"/>
      <c r="CF427" s="482"/>
      <c r="CG427" s="482"/>
      <c r="CH427" s="484"/>
    </row>
    <row r="428" spans="1:90" s="469" customFormat="1" ht="12" customHeight="1" x14ac:dyDescent="0.15">
      <c r="A428" s="471" t="s">
        <v>2343</v>
      </c>
      <c r="B428" s="472">
        <v>42505</v>
      </c>
      <c r="C428" s="471" t="s">
        <v>4767</v>
      </c>
      <c r="D428" s="471" t="s">
        <v>4768</v>
      </c>
      <c r="E428" s="471" t="s">
        <v>4769</v>
      </c>
      <c r="F428" s="471" t="s">
        <v>4770</v>
      </c>
      <c r="G428" s="473">
        <v>5</v>
      </c>
      <c r="H428" s="474">
        <v>20</v>
      </c>
      <c r="I428" s="475"/>
      <c r="J428" s="475"/>
      <c r="K428" s="473">
        <v>10</v>
      </c>
      <c r="L428" s="485" t="s">
        <v>431</v>
      </c>
      <c r="M428" s="476">
        <v>15000</v>
      </c>
      <c r="N428" s="471" t="s">
        <v>4771</v>
      </c>
      <c r="O428" s="477" t="s">
        <v>431</v>
      </c>
      <c r="P428" s="478" t="s">
        <v>431</v>
      </c>
      <c r="Q428" s="479" t="s">
        <v>431</v>
      </c>
      <c r="R428" s="480" t="s">
        <v>431</v>
      </c>
      <c r="S428" s="477"/>
      <c r="T428" s="481" t="s">
        <v>4818</v>
      </c>
      <c r="U428" s="482"/>
      <c r="V428" s="482"/>
      <c r="W428" s="483"/>
      <c r="X428" s="482"/>
      <c r="Y428" s="482"/>
      <c r="Z428" s="482"/>
      <c r="AA428" s="482"/>
      <c r="AB428" s="482"/>
      <c r="AC428" s="482"/>
      <c r="AD428" s="482"/>
      <c r="AE428" s="482"/>
      <c r="AF428" s="482"/>
      <c r="AG428" s="482"/>
      <c r="AH428" s="482"/>
      <c r="AI428" s="482"/>
      <c r="AJ428" s="482"/>
      <c r="AK428" s="482"/>
      <c r="AL428" s="482"/>
      <c r="AM428" s="482"/>
      <c r="AN428" s="482"/>
      <c r="AO428" s="482"/>
      <c r="AP428" s="482"/>
      <c r="AQ428" s="482"/>
      <c r="AR428" s="482"/>
      <c r="AS428" s="482"/>
      <c r="AT428" s="482"/>
      <c r="AU428" s="482"/>
      <c r="AV428" s="482"/>
      <c r="AW428" s="482"/>
      <c r="AX428" s="482"/>
      <c r="AY428" s="486"/>
      <c r="AZ428" s="487" t="str">
        <f t="shared" si="25"/>
        <v/>
      </c>
      <c r="BA428" s="482"/>
      <c r="BB428" s="482"/>
      <c r="BC428" s="482"/>
      <c r="BD428" s="482"/>
      <c r="BE428" s="482"/>
      <c r="BF428" s="482"/>
      <c r="BG428" s="482"/>
      <c r="BH428" s="482"/>
      <c r="BI428" s="482"/>
      <c r="BJ428" s="482"/>
      <c r="BK428" s="482"/>
      <c r="BL428" s="482"/>
      <c r="BM428" s="482"/>
      <c r="BN428" s="482"/>
      <c r="BO428" s="482"/>
      <c r="BP428" s="482"/>
      <c r="BQ428" s="482"/>
      <c r="BR428" s="482"/>
      <c r="BS428" s="482"/>
      <c r="BT428" s="482"/>
      <c r="BU428" s="482"/>
      <c r="BV428" s="482"/>
      <c r="BW428" s="482"/>
      <c r="BX428" s="482"/>
      <c r="BY428" s="482"/>
      <c r="BZ428" s="482"/>
      <c r="CA428" s="482"/>
      <c r="CB428" s="482"/>
      <c r="CC428" s="482"/>
      <c r="CD428" s="482"/>
      <c r="CE428" s="482"/>
      <c r="CF428" s="482"/>
      <c r="CG428" s="482"/>
      <c r="CH428" s="484"/>
    </row>
    <row r="429" spans="1:90" s="461" customFormat="1" ht="12" customHeight="1" x14ac:dyDescent="0.15">
      <c r="A429" s="522" t="s">
        <v>4206</v>
      </c>
      <c r="B429" s="467">
        <v>42505</v>
      </c>
      <c r="C429" s="468" t="s">
        <v>3951</v>
      </c>
      <c r="D429" s="468" t="s">
        <v>4207</v>
      </c>
      <c r="E429" s="468" t="s">
        <v>4297</v>
      </c>
      <c r="F429" s="468" t="s">
        <v>4070</v>
      </c>
      <c r="G429" s="466">
        <v>6</v>
      </c>
      <c r="H429" s="465">
        <v>6</v>
      </c>
      <c r="I429" s="466"/>
      <c r="J429" s="466" t="s">
        <v>960</v>
      </c>
      <c r="K429" s="466">
        <v>10</v>
      </c>
      <c r="L429" s="464" t="s">
        <v>431</v>
      </c>
      <c r="M429" s="463">
        <v>1236</v>
      </c>
      <c r="N429" s="468" t="s">
        <v>4007</v>
      </c>
      <c r="O429" s="466">
        <v>10</v>
      </c>
      <c r="P429" s="523">
        <v>-22</v>
      </c>
      <c r="Q429" s="462">
        <v>9.1030092592592595E-4</v>
      </c>
      <c r="R429" s="463">
        <v>30</v>
      </c>
      <c r="S429" s="466" t="s">
        <v>625</v>
      </c>
      <c r="T429" s="524"/>
      <c r="W429" s="460"/>
      <c r="AY429" s="486">
        <f t="shared" ref="AY429:AY465" si="26">IF(S429="","",R429)</f>
        <v>30</v>
      </c>
      <c r="AZ429" s="487" t="str">
        <f t="shared" si="25"/>
        <v/>
      </c>
      <c r="CH429" s="459"/>
    </row>
    <row r="430" spans="1:90" s="469" customFormat="1" ht="12" customHeight="1" x14ac:dyDescent="0.15">
      <c r="A430" s="444" t="s">
        <v>4063</v>
      </c>
      <c r="B430" s="445">
        <v>42505</v>
      </c>
      <c r="C430" s="446" t="s">
        <v>4064</v>
      </c>
      <c r="D430" s="446" t="s">
        <v>4014</v>
      </c>
      <c r="E430" s="446" t="s">
        <v>4764</v>
      </c>
      <c r="F430" s="446" t="s">
        <v>3686</v>
      </c>
      <c r="G430" s="447">
        <v>5</v>
      </c>
      <c r="H430" s="447">
        <v>8.5</v>
      </c>
      <c r="I430" s="447"/>
      <c r="J430" s="447"/>
      <c r="K430" s="447">
        <v>10</v>
      </c>
      <c r="L430" s="449">
        <f>9/2</f>
        <v>4.5</v>
      </c>
      <c r="M430" s="450">
        <v>6966</v>
      </c>
      <c r="N430" s="446" t="s">
        <v>3653</v>
      </c>
      <c r="O430" s="447">
        <v>1</v>
      </c>
      <c r="P430" s="451">
        <v>8.25</v>
      </c>
      <c r="Q430" s="452">
        <v>1.2368055555555557E-3</v>
      </c>
      <c r="R430" s="450">
        <v>4217</v>
      </c>
      <c r="S430" s="447" t="s">
        <v>625</v>
      </c>
      <c r="T430" s="453" t="s">
        <v>4794</v>
      </c>
      <c r="U430" s="454"/>
      <c r="V430" s="454"/>
      <c r="W430" s="455"/>
      <c r="X430" s="454"/>
      <c r="Y430" s="454"/>
      <c r="Z430" s="454"/>
      <c r="AA430" s="454"/>
      <c r="AB430" s="454"/>
      <c r="AC430" s="454"/>
      <c r="AD430" s="454"/>
      <c r="AE430" s="454"/>
      <c r="AF430" s="454"/>
      <c r="AG430" s="454"/>
      <c r="AH430" s="454"/>
      <c r="AI430" s="454"/>
      <c r="AJ430" s="454"/>
      <c r="AK430" s="454"/>
      <c r="AL430" s="454"/>
      <c r="AM430" s="454"/>
      <c r="AN430" s="454"/>
      <c r="AO430" s="454"/>
      <c r="AP430" s="454"/>
      <c r="AQ430" s="454"/>
      <c r="AR430" s="454"/>
      <c r="AS430" s="454"/>
      <c r="AT430" s="454"/>
      <c r="AU430" s="454"/>
      <c r="AV430" s="454"/>
      <c r="AW430" s="454"/>
      <c r="AX430" s="454"/>
      <c r="AY430" s="486">
        <f t="shared" si="26"/>
        <v>4217</v>
      </c>
      <c r="AZ430" s="487">
        <f t="shared" si="25"/>
        <v>1</v>
      </c>
      <c r="BA430" s="454"/>
      <c r="BB430" s="454"/>
      <c r="BC430" s="454"/>
      <c r="BD430" s="454"/>
      <c r="BE430" s="454"/>
      <c r="BF430" s="454"/>
      <c r="BG430" s="454"/>
      <c r="BH430" s="454"/>
      <c r="BI430" s="454"/>
      <c r="BJ430" s="454"/>
      <c r="BK430" s="454"/>
      <c r="BL430" s="454"/>
      <c r="BM430" s="454"/>
      <c r="BN430" s="454"/>
      <c r="BO430" s="454"/>
      <c r="BP430" s="454"/>
      <c r="BQ430" s="454"/>
      <c r="BR430" s="454"/>
      <c r="BS430" s="454"/>
      <c r="BT430" s="454"/>
      <c r="BU430" s="454"/>
      <c r="BV430" s="454"/>
      <c r="BW430" s="454"/>
      <c r="BX430" s="454"/>
      <c r="BY430" s="454"/>
      <c r="BZ430" s="454"/>
      <c r="CA430" s="454"/>
      <c r="CB430" s="454"/>
      <c r="CC430" s="454"/>
      <c r="CD430" s="454"/>
      <c r="CE430" s="454"/>
      <c r="CF430" s="454"/>
      <c r="CG430" s="454"/>
      <c r="CH430" s="456"/>
      <c r="CI430" s="454"/>
      <c r="CJ430" s="454"/>
      <c r="CK430" s="454"/>
      <c r="CL430" s="454"/>
    </row>
    <row r="431" spans="1:90" s="461" customFormat="1" ht="12" customHeight="1" x14ac:dyDescent="0.15">
      <c r="A431" s="522" t="s">
        <v>4758</v>
      </c>
      <c r="B431" s="467">
        <v>42506</v>
      </c>
      <c r="C431" s="468" t="s">
        <v>2723</v>
      </c>
      <c r="D431" s="468" t="s">
        <v>4176</v>
      </c>
      <c r="E431" s="468" t="s">
        <v>3695</v>
      </c>
      <c r="F431" s="468" t="s">
        <v>3685</v>
      </c>
      <c r="G431" s="466">
        <v>5</v>
      </c>
      <c r="H431" s="465">
        <v>6.5</v>
      </c>
      <c r="I431" s="466"/>
      <c r="J431" s="466"/>
      <c r="K431" s="466">
        <v>10</v>
      </c>
      <c r="L431" s="506">
        <v>5</v>
      </c>
      <c r="M431" s="463">
        <v>3292</v>
      </c>
      <c r="N431" s="468" t="s">
        <v>4007</v>
      </c>
      <c r="O431" s="466">
        <v>3</v>
      </c>
      <c r="P431" s="523">
        <v>-4</v>
      </c>
      <c r="Q431" s="462">
        <v>9.1782407407407405E-4</v>
      </c>
      <c r="R431" s="463">
        <v>429</v>
      </c>
      <c r="S431" s="466" t="s">
        <v>625</v>
      </c>
      <c r="T431" s="524"/>
      <c r="W431" s="460"/>
      <c r="AY431" s="486">
        <f t="shared" si="26"/>
        <v>429</v>
      </c>
      <c r="AZ431" s="487" t="str">
        <f t="shared" si="25"/>
        <v/>
      </c>
      <c r="CH431" s="459"/>
    </row>
    <row r="432" spans="1:90" s="461" customFormat="1" ht="12" customHeight="1" x14ac:dyDescent="0.15">
      <c r="A432" s="522" t="s">
        <v>3426</v>
      </c>
      <c r="B432" s="467">
        <v>42506</v>
      </c>
      <c r="C432" s="468" t="s">
        <v>3655</v>
      </c>
      <c r="D432" s="468" t="s">
        <v>3298</v>
      </c>
      <c r="E432" s="468" t="s">
        <v>3699</v>
      </c>
      <c r="F432" s="468" t="s">
        <v>3685</v>
      </c>
      <c r="G432" s="466">
        <v>6</v>
      </c>
      <c r="H432" s="465">
        <v>6.5</v>
      </c>
      <c r="I432" s="466"/>
      <c r="J432" s="466"/>
      <c r="K432" s="466">
        <v>11</v>
      </c>
      <c r="L432" s="506">
        <v>3</v>
      </c>
      <c r="M432" s="463">
        <v>3292</v>
      </c>
      <c r="N432" s="468" t="s">
        <v>4007</v>
      </c>
      <c r="O432" s="466">
        <v>2</v>
      </c>
      <c r="P432" s="523">
        <v>-2.5</v>
      </c>
      <c r="Q432" s="462">
        <v>9.3321759259259269E-4</v>
      </c>
      <c r="R432" s="463">
        <v>693</v>
      </c>
      <c r="S432" s="466" t="s">
        <v>625</v>
      </c>
      <c r="T432" s="524" t="s">
        <v>4253</v>
      </c>
      <c r="W432" s="460"/>
      <c r="AY432" s="486">
        <f t="shared" si="26"/>
        <v>693</v>
      </c>
      <c r="AZ432" s="487" t="str">
        <f t="shared" si="25"/>
        <v/>
      </c>
      <c r="CH432" s="459"/>
    </row>
    <row r="433" spans="1:86" s="461" customFormat="1" ht="12" customHeight="1" x14ac:dyDescent="0.15">
      <c r="A433" s="522" t="s">
        <v>2151</v>
      </c>
      <c r="B433" s="467">
        <v>42506</v>
      </c>
      <c r="C433" s="468" t="s">
        <v>3852</v>
      </c>
      <c r="D433" s="468" t="s">
        <v>3853</v>
      </c>
      <c r="E433" s="468" t="s">
        <v>4256</v>
      </c>
      <c r="F433" s="468" t="s">
        <v>4171</v>
      </c>
      <c r="G433" s="466">
        <v>5</v>
      </c>
      <c r="H433" s="465">
        <v>8</v>
      </c>
      <c r="I433" s="466"/>
      <c r="J433" s="466"/>
      <c r="K433" s="466">
        <v>6</v>
      </c>
      <c r="L433" s="506">
        <v>5</v>
      </c>
      <c r="M433" s="463">
        <v>42000</v>
      </c>
      <c r="N433" s="468" t="s">
        <v>4578</v>
      </c>
      <c r="O433" s="466">
        <v>3</v>
      </c>
      <c r="P433" s="523">
        <v>-0.75</v>
      </c>
      <c r="Q433" s="462">
        <v>1.1652777777777777E-3</v>
      </c>
      <c r="R433" s="463">
        <v>4620</v>
      </c>
      <c r="S433" s="466"/>
      <c r="T433" s="524"/>
      <c r="W433" s="460"/>
      <c r="AY433" s="486" t="str">
        <f t="shared" si="26"/>
        <v/>
      </c>
      <c r="AZ433" s="487" t="str">
        <f t="shared" si="25"/>
        <v/>
      </c>
      <c r="CH433" s="459"/>
    </row>
    <row r="434" spans="1:86" s="461" customFormat="1" ht="12" customHeight="1" x14ac:dyDescent="0.15">
      <c r="A434" s="522" t="s">
        <v>3310</v>
      </c>
      <c r="B434" s="467">
        <v>42506</v>
      </c>
      <c r="C434" s="468" t="s">
        <v>3311</v>
      </c>
      <c r="D434" s="468" t="s">
        <v>4176</v>
      </c>
      <c r="E434" s="468" t="s">
        <v>3695</v>
      </c>
      <c r="F434" s="468" t="s">
        <v>3685</v>
      </c>
      <c r="G434" s="466">
        <v>12</v>
      </c>
      <c r="H434" s="465">
        <v>10</v>
      </c>
      <c r="I434" s="466"/>
      <c r="J434" s="466"/>
      <c r="K434" s="466">
        <v>7</v>
      </c>
      <c r="L434" s="506">
        <v>6</v>
      </c>
      <c r="M434" s="463">
        <v>43451</v>
      </c>
      <c r="N434" s="468" t="s">
        <v>4760</v>
      </c>
      <c r="O434" s="466">
        <v>7</v>
      </c>
      <c r="P434" s="523">
        <v>-27.5</v>
      </c>
      <c r="Q434" s="462">
        <v>1.4359953703703702E-3</v>
      </c>
      <c r="R434" s="463">
        <v>65</v>
      </c>
      <c r="S434" s="466" t="s">
        <v>625</v>
      </c>
      <c r="T434" s="524"/>
      <c r="W434" s="460"/>
      <c r="AY434" s="486">
        <f t="shared" si="26"/>
        <v>65</v>
      </c>
      <c r="AZ434" s="487" t="str">
        <f t="shared" si="25"/>
        <v/>
      </c>
      <c r="CH434" s="459"/>
    </row>
    <row r="435" spans="1:86" s="461" customFormat="1" ht="12" customHeight="1" x14ac:dyDescent="0.15">
      <c r="A435" s="522" t="s">
        <v>1534</v>
      </c>
      <c r="B435" s="467">
        <v>42507</v>
      </c>
      <c r="C435" s="468" t="s">
        <v>4825</v>
      </c>
      <c r="D435" s="468" t="s">
        <v>4510</v>
      </c>
      <c r="E435" s="468" t="s">
        <v>4819</v>
      </c>
      <c r="F435" s="468" t="s">
        <v>4171</v>
      </c>
      <c r="G435" s="466">
        <v>4</v>
      </c>
      <c r="H435" s="465">
        <v>8</v>
      </c>
      <c r="I435" s="466"/>
      <c r="J435" s="466"/>
      <c r="K435" s="466">
        <v>8</v>
      </c>
      <c r="L435" s="525">
        <v>20</v>
      </c>
      <c r="M435" s="463">
        <v>18000</v>
      </c>
      <c r="N435" s="468" t="s">
        <v>197</v>
      </c>
      <c r="O435" s="466">
        <v>8</v>
      </c>
      <c r="P435" s="523">
        <v>-25.5</v>
      </c>
      <c r="Q435" s="462">
        <v>1.1564814814814814E-3</v>
      </c>
      <c r="R435" s="463">
        <v>250</v>
      </c>
      <c r="S435" s="466"/>
      <c r="T435" s="524"/>
      <c r="W435" s="460"/>
      <c r="AY435" s="486" t="str">
        <f t="shared" si="26"/>
        <v/>
      </c>
      <c r="AZ435" s="487" t="str">
        <f t="shared" si="25"/>
        <v/>
      </c>
      <c r="CH435" s="459"/>
    </row>
    <row r="436" spans="1:86" s="461" customFormat="1" ht="12" customHeight="1" x14ac:dyDescent="0.15">
      <c r="A436" s="522" t="s">
        <v>2355</v>
      </c>
      <c r="B436" s="467">
        <v>42508</v>
      </c>
      <c r="C436" s="468" t="s">
        <v>4601</v>
      </c>
      <c r="D436" s="468" t="s">
        <v>4599</v>
      </c>
      <c r="E436" s="468" t="s">
        <v>4113</v>
      </c>
      <c r="F436" s="468" t="s">
        <v>433</v>
      </c>
      <c r="G436" s="466">
        <v>7</v>
      </c>
      <c r="H436" s="465">
        <v>6</v>
      </c>
      <c r="I436" s="466"/>
      <c r="J436" s="466"/>
      <c r="K436" s="466">
        <v>8</v>
      </c>
      <c r="L436" s="525">
        <f>7/2</f>
        <v>3.5</v>
      </c>
      <c r="M436" s="463">
        <v>59000</v>
      </c>
      <c r="N436" s="468" t="s">
        <v>4820</v>
      </c>
      <c r="O436" s="466">
        <v>6</v>
      </c>
      <c r="P436" s="523">
        <v>-23</v>
      </c>
      <c r="Q436" s="462">
        <v>8.1226851851851848E-4</v>
      </c>
      <c r="R436" s="463">
        <v>1180</v>
      </c>
      <c r="S436" s="466"/>
      <c r="T436" s="524" t="s">
        <v>3755</v>
      </c>
      <c r="W436" s="460"/>
      <c r="AY436" s="486" t="str">
        <f t="shared" si="26"/>
        <v/>
      </c>
      <c r="AZ436" s="487" t="str">
        <f t="shared" si="25"/>
        <v/>
      </c>
      <c r="CH436" s="459"/>
    </row>
    <row r="437" spans="1:86" s="461" customFormat="1" ht="12" customHeight="1" x14ac:dyDescent="0.15">
      <c r="A437" s="522" t="s">
        <v>42</v>
      </c>
      <c r="B437" s="467">
        <v>42508</v>
      </c>
      <c r="C437" s="468" t="s">
        <v>3765</v>
      </c>
      <c r="D437" s="468" t="s">
        <v>3764</v>
      </c>
      <c r="E437" s="468" t="s">
        <v>4746</v>
      </c>
      <c r="F437" s="468" t="s">
        <v>775</v>
      </c>
      <c r="G437" s="466">
        <v>6</v>
      </c>
      <c r="H437" s="465">
        <v>8</v>
      </c>
      <c r="I437" s="466" t="s">
        <v>3730</v>
      </c>
      <c r="J437" s="466"/>
      <c r="K437" s="466">
        <v>11</v>
      </c>
      <c r="L437" s="601">
        <v>20</v>
      </c>
      <c r="M437" s="463">
        <v>6000</v>
      </c>
      <c r="N437" s="468" t="s">
        <v>4766</v>
      </c>
      <c r="O437" s="466">
        <v>7</v>
      </c>
      <c r="P437" s="523">
        <v>-5</v>
      </c>
      <c r="Q437" s="462">
        <v>1.1430555555555554E-3</v>
      </c>
      <c r="R437" s="463">
        <v>0</v>
      </c>
      <c r="S437" s="466"/>
      <c r="T437" s="524"/>
      <c r="W437" s="460"/>
      <c r="AY437" s="486" t="str">
        <f t="shared" si="26"/>
        <v/>
      </c>
      <c r="AZ437" s="487" t="str">
        <f t="shared" si="25"/>
        <v/>
      </c>
      <c r="CH437" s="459"/>
    </row>
    <row r="438" spans="1:86" s="461" customFormat="1" ht="12" customHeight="1" x14ac:dyDescent="0.15">
      <c r="A438" s="522" t="s">
        <v>4548</v>
      </c>
      <c r="B438" s="467">
        <v>42508</v>
      </c>
      <c r="C438" s="468" t="s">
        <v>4658</v>
      </c>
      <c r="D438" s="468" t="s">
        <v>4657</v>
      </c>
      <c r="E438" s="468" t="s">
        <v>4659</v>
      </c>
      <c r="F438" s="468" t="s">
        <v>2377</v>
      </c>
      <c r="G438" s="466">
        <v>4</v>
      </c>
      <c r="H438" s="465">
        <v>8</v>
      </c>
      <c r="I438" s="466"/>
      <c r="J438" s="466"/>
      <c r="K438" s="466">
        <v>7</v>
      </c>
      <c r="L438" s="601">
        <v>10</v>
      </c>
      <c r="M438" s="463">
        <v>6300</v>
      </c>
      <c r="N438" s="468" t="s">
        <v>197</v>
      </c>
      <c r="O438" s="466">
        <v>7</v>
      </c>
      <c r="P438" s="523">
        <v>-39.5</v>
      </c>
      <c r="Q438" s="462">
        <v>1.2160879629629631E-3</v>
      </c>
      <c r="R438" s="463">
        <v>63</v>
      </c>
      <c r="S438" s="466"/>
      <c r="T438" s="524"/>
      <c r="W438" s="460"/>
      <c r="AY438" s="486" t="str">
        <f t="shared" si="26"/>
        <v/>
      </c>
      <c r="AZ438" s="487" t="str">
        <f t="shared" si="25"/>
        <v/>
      </c>
      <c r="CH438" s="459"/>
    </row>
    <row r="439" spans="1:86" s="461" customFormat="1" ht="12" customHeight="1" x14ac:dyDescent="0.15">
      <c r="A439" s="522" t="s">
        <v>2228</v>
      </c>
      <c r="B439" s="467">
        <v>42508</v>
      </c>
      <c r="C439" s="468" t="s">
        <v>3866</v>
      </c>
      <c r="D439" s="468" t="s">
        <v>4491</v>
      </c>
      <c r="E439" s="468" t="s">
        <v>4492</v>
      </c>
      <c r="F439" s="468" t="s">
        <v>993</v>
      </c>
      <c r="G439" s="466">
        <v>5</v>
      </c>
      <c r="H439" s="465">
        <v>4.5</v>
      </c>
      <c r="I439" s="466"/>
      <c r="J439" s="466"/>
      <c r="K439" s="466">
        <v>10</v>
      </c>
      <c r="L439" s="601">
        <f>7/2</f>
        <v>3.5</v>
      </c>
      <c r="M439" s="463">
        <v>10000</v>
      </c>
      <c r="N439" s="468" t="s">
        <v>4562</v>
      </c>
      <c r="O439" s="466">
        <v>8</v>
      </c>
      <c r="P439" s="523">
        <v>-5.25</v>
      </c>
      <c r="Q439" s="462">
        <v>6.4027777777777781E-4</v>
      </c>
      <c r="R439" s="463">
        <v>100</v>
      </c>
      <c r="S439" s="466"/>
      <c r="T439" s="524"/>
      <c r="W439" s="460"/>
      <c r="AY439" s="486" t="str">
        <f t="shared" si="26"/>
        <v/>
      </c>
      <c r="AZ439" s="487" t="str">
        <f t="shared" si="25"/>
        <v/>
      </c>
      <c r="CH439" s="459"/>
    </row>
    <row r="440" spans="1:86" s="461" customFormat="1" ht="12" customHeight="1" x14ac:dyDescent="0.15">
      <c r="A440" s="522" t="s">
        <v>3694</v>
      </c>
      <c r="B440" s="467">
        <v>42508</v>
      </c>
      <c r="C440" s="468" t="s">
        <v>3719</v>
      </c>
      <c r="D440" s="468" t="s">
        <v>3721</v>
      </c>
      <c r="E440" s="468" t="s">
        <v>3720</v>
      </c>
      <c r="F440" s="468" t="s">
        <v>993</v>
      </c>
      <c r="G440" s="466">
        <v>6</v>
      </c>
      <c r="H440" s="465">
        <v>4.5</v>
      </c>
      <c r="I440" s="466"/>
      <c r="J440" s="466"/>
      <c r="K440" s="466">
        <v>10</v>
      </c>
      <c r="L440" s="601">
        <v>4</v>
      </c>
      <c r="M440" s="463">
        <v>24000</v>
      </c>
      <c r="N440" s="468" t="s">
        <v>4296</v>
      </c>
      <c r="O440" s="466">
        <v>4</v>
      </c>
      <c r="P440" s="523">
        <v>-4.5</v>
      </c>
      <c r="Q440" s="462">
        <v>6.0925925925925926E-4</v>
      </c>
      <c r="R440" s="463">
        <v>2360</v>
      </c>
      <c r="S440" s="466"/>
      <c r="T440" s="524"/>
      <c r="W440" s="460"/>
      <c r="AY440" s="486" t="str">
        <f t="shared" si="26"/>
        <v/>
      </c>
      <c r="AZ440" s="487" t="str">
        <f t="shared" si="25"/>
        <v/>
      </c>
      <c r="CH440" s="459"/>
    </row>
    <row r="441" spans="1:86" s="461" customFormat="1" ht="12" customHeight="1" x14ac:dyDescent="0.15">
      <c r="A441" s="522" t="s">
        <v>3263</v>
      </c>
      <c r="B441" s="467">
        <v>42508</v>
      </c>
      <c r="C441" s="468" t="s">
        <v>3719</v>
      </c>
      <c r="D441" s="468" t="s">
        <v>3721</v>
      </c>
      <c r="E441" s="468" t="s">
        <v>3720</v>
      </c>
      <c r="F441" s="468" t="s">
        <v>993</v>
      </c>
      <c r="G441" s="466">
        <v>8</v>
      </c>
      <c r="H441" s="465">
        <v>4.5</v>
      </c>
      <c r="I441" s="466"/>
      <c r="J441" s="466"/>
      <c r="K441" s="466">
        <v>9</v>
      </c>
      <c r="L441" s="601">
        <v>3</v>
      </c>
      <c r="M441" s="463">
        <v>24000</v>
      </c>
      <c r="N441" s="468" t="s">
        <v>4296</v>
      </c>
      <c r="O441" s="466">
        <v>5</v>
      </c>
      <c r="P441" s="523">
        <v>-3.25</v>
      </c>
      <c r="Q441" s="462">
        <v>6.1157407407407417E-4</v>
      </c>
      <c r="R441" s="463">
        <v>711</v>
      </c>
      <c r="S441" s="466"/>
      <c r="T441" s="524" t="s">
        <v>3755</v>
      </c>
      <c r="W441" s="460"/>
      <c r="AY441" s="486" t="str">
        <f t="shared" si="26"/>
        <v/>
      </c>
      <c r="AZ441" s="487" t="str">
        <f t="shared" si="25"/>
        <v/>
      </c>
      <c r="CH441" s="459"/>
    </row>
    <row r="442" spans="1:86" s="461" customFormat="1" ht="12" customHeight="1" x14ac:dyDescent="0.15">
      <c r="A442" s="522" t="s">
        <v>3899</v>
      </c>
      <c r="B442" s="467">
        <v>42509</v>
      </c>
      <c r="C442" s="468" t="s">
        <v>2341</v>
      </c>
      <c r="D442" s="468" t="s">
        <v>4494</v>
      </c>
      <c r="E442" s="468" t="s">
        <v>4309</v>
      </c>
      <c r="F442" s="468" t="s">
        <v>540</v>
      </c>
      <c r="G442" s="466">
        <v>8</v>
      </c>
      <c r="H442" s="465">
        <v>8</v>
      </c>
      <c r="I442" s="466" t="s">
        <v>3730</v>
      </c>
      <c r="J442" s="466"/>
      <c r="K442" s="466">
        <v>8</v>
      </c>
      <c r="L442" s="601">
        <v>20</v>
      </c>
      <c r="M442" s="463">
        <v>25000</v>
      </c>
      <c r="N442" s="468" t="s">
        <v>4821</v>
      </c>
      <c r="O442" s="466">
        <v>2</v>
      </c>
      <c r="P442" s="523">
        <v>-0.5</v>
      </c>
      <c r="Q442" s="462">
        <v>1.1241898148148148E-3</v>
      </c>
      <c r="R442" s="463">
        <v>4620</v>
      </c>
      <c r="S442" s="466"/>
      <c r="T442" s="524"/>
      <c r="W442" s="460"/>
      <c r="AY442" s="486" t="str">
        <f t="shared" si="26"/>
        <v/>
      </c>
      <c r="AZ442" s="487" t="str">
        <f t="shared" si="25"/>
        <v/>
      </c>
      <c r="CH442" s="459"/>
    </row>
    <row r="443" spans="1:86" s="469" customFormat="1" ht="12" customHeight="1" x14ac:dyDescent="0.15">
      <c r="A443" s="471" t="s">
        <v>2178</v>
      </c>
      <c r="B443" s="472">
        <v>42509</v>
      </c>
      <c r="C443" s="471" t="s">
        <v>4800</v>
      </c>
      <c r="D443" s="471" t="s">
        <v>4403</v>
      </c>
      <c r="E443" s="471" t="s">
        <v>66</v>
      </c>
      <c r="F443" s="471" t="s">
        <v>2376</v>
      </c>
      <c r="G443" s="473">
        <v>4</v>
      </c>
      <c r="H443" s="474">
        <v>6</v>
      </c>
      <c r="I443" s="475"/>
      <c r="J443" s="475"/>
      <c r="K443" s="473">
        <v>10</v>
      </c>
      <c r="L443" s="458">
        <v>20</v>
      </c>
      <c r="M443" s="476">
        <v>11400</v>
      </c>
      <c r="N443" s="471" t="s">
        <v>197</v>
      </c>
      <c r="O443" s="477" t="s">
        <v>431</v>
      </c>
      <c r="P443" s="478" t="s">
        <v>431</v>
      </c>
      <c r="Q443" s="479" t="s">
        <v>431</v>
      </c>
      <c r="R443" s="480" t="s">
        <v>431</v>
      </c>
      <c r="S443" s="477"/>
      <c r="T443" s="481" t="s">
        <v>4850</v>
      </c>
      <c r="U443" s="482"/>
      <c r="V443" s="482"/>
      <c r="W443" s="483"/>
      <c r="X443" s="482"/>
      <c r="Y443" s="482"/>
      <c r="Z443" s="482"/>
      <c r="AA443" s="482"/>
      <c r="AB443" s="482"/>
      <c r="AC443" s="482"/>
      <c r="AD443" s="482"/>
      <c r="AE443" s="482"/>
      <c r="AF443" s="482"/>
      <c r="AG443" s="482"/>
      <c r="AH443" s="482"/>
      <c r="AI443" s="482"/>
      <c r="AJ443" s="482"/>
      <c r="AK443" s="482"/>
      <c r="AL443" s="482"/>
      <c r="AM443" s="482"/>
      <c r="AN443" s="482"/>
      <c r="AO443" s="482"/>
      <c r="AP443" s="482"/>
      <c r="AQ443" s="482"/>
      <c r="AR443" s="482"/>
      <c r="AS443" s="482"/>
      <c r="AT443" s="482"/>
      <c r="AU443" s="482"/>
      <c r="AV443" s="482"/>
      <c r="AW443" s="482"/>
      <c r="AX443" s="482"/>
      <c r="AY443" s="486" t="str">
        <f t="shared" si="26"/>
        <v/>
      </c>
      <c r="AZ443" s="487" t="str">
        <f t="shared" si="25"/>
        <v/>
      </c>
      <c r="BA443" s="482"/>
      <c r="BB443" s="482"/>
      <c r="BC443" s="482"/>
      <c r="BD443" s="482"/>
      <c r="BE443" s="482"/>
      <c r="BF443" s="482"/>
      <c r="BG443" s="482"/>
      <c r="BH443" s="482"/>
      <c r="BI443" s="482"/>
      <c r="BJ443" s="482"/>
      <c r="BK443" s="482"/>
      <c r="BL443" s="482"/>
      <c r="BM443" s="482"/>
      <c r="BN443" s="482"/>
      <c r="BO443" s="482"/>
      <c r="BP443" s="482"/>
      <c r="BQ443" s="482"/>
      <c r="BR443" s="482"/>
      <c r="BS443" s="482"/>
      <c r="BT443" s="482"/>
      <c r="BU443" s="482"/>
      <c r="BV443" s="482"/>
      <c r="BW443" s="482"/>
      <c r="BX443" s="482"/>
      <c r="BY443" s="482"/>
      <c r="BZ443" s="482"/>
      <c r="CA443" s="482"/>
      <c r="CB443" s="482"/>
      <c r="CC443" s="482"/>
      <c r="CD443" s="482"/>
      <c r="CE443" s="482"/>
      <c r="CF443" s="482"/>
      <c r="CG443" s="482"/>
      <c r="CH443" s="484"/>
    </row>
    <row r="444" spans="1:86" s="461" customFormat="1" ht="12" customHeight="1" x14ac:dyDescent="0.15">
      <c r="A444" s="522" t="s">
        <v>2155</v>
      </c>
      <c r="B444" s="467">
        <v>42510</v>
      </c>
      <c r="C444" s="468" t="s">
        <v>1767</v>
      </c>
      <c r="D444" s="468" t="s">
        <v>3881</v>
      </c>
      <c r="E444" s="468" t="s">
        <v>3880</v>
      </c>
      <c r="F444" s="468" t="s">
        <v>1153</v>
      </c>
      <c r="G444" s="466">
        <v>5</v>
      </c>
      <c r="H444" s="465">
        <v>8</v>
      </c>
      <c r="I444" s="466"/>
      <c r="J444" s="466"/>
      <c r="K444" s="466">
        <v>10</v>
      </c>
      <c r="L444" s="525">
        <v>20</v>
      </c>
      <c r="M444" s="463">
        <v>55000</v>
      </c>
      <c r="N444" s="468" t="s">
        <v>4539</v>
      </c>
      <c r="O444" s="466">
        <v>7</v>
      </c>
      <c r="P444" s="523">
        <v>-23</v>
      </c>
      <c r="Q444" s="462">
        <v>1.2153935185185186E-3</v>
      </c>
      <c r="R444" s="463">
        <v>0</v>
      </c>
      <c r="S444" s="466"/>
      <c r="T444" s="524"/>
      <c r="W444" s="460"/>
      <c r="AY444" s="486" t="str">
        <f t="shared" si="26"/>
        <v/>
      </c>
      <c r="AZ444" s="487" t="str">
        <f t="shared" si="25"/>
        <v/>
      </c>
      <c r="CH444" s="459"/>
    </row>
    <row r="445" spans="1:86" s="461" customFormat="1" ht="12" customHeight="1" x14ac:dyDescent="0.15">
      <c r="A445" s="522" t="s">
        <v>1557</v>
      </c>
      <c r="B445" s="467">
        <v>42510</v>
      </c>
      <c r="C445" s="468" t="s">
        <v>4250</v>
      </c>
      <c r="D445" s="468" t="s">
        <v>4247</v>
      </c>
      <c r="E445" s="468" t="s">
        <v>4248</v>
      </c>
      <c r="F445" s="468" t="s">
        <v>4750</v>
      </c>
      <c r="G445" s="466">
        <v>4</v>
      </c>
      <c r="H445" s="465">
        <v>6</v>
      </c>
      <c r="I445" s="466"/>
      <c r="J445" s="466"/>
      <c r="K445" s="466">
        <v>10</v>
      </c>
      <c r="L445" s="506">
        <v>12</v>
      </c>
      <c r="M445" s="463">
        <v>16000</v>
      </c>
      <c r="N445" s="468" t="s">
        <v>4751</v>
      </c>
      <c r="O445" s="466">
        <v>6</v>
      </c>
      <c r="P445" s="523">
        <v>-6.25</v>
      </c>
      <c r="Q445" s="462">
        <v>8.4722222222222219E-4</v>
      </c>
      <c r="R445" s="463">
        <v>300</v>
      </c>
      <c r="S445" s="466"/>
      <c r="T445" s="524"/>
      <c r="W445" s="460"/>
      <c r="AY445" s="486" t="str">
        <f t="shared" si="26"/>
        <v/>
      </c>
      <c r="AZ445" s="487" t="str">
        <f t="shared" si="25"/>
        <v/>
      </c>
      <c r="CH445" s="459"/>
    </row>
    <row r="446" spans="1:86" s="461" customFormat="1" ht="12" customHeight="1" x14ac:dyDescent="0.15">
      <c r="A446" s="522" t="s">
        <v>351</v>
      </c>
      <c r="B446" s="467">
        <v>42510</v>
      </c>
      <c r="C446" s="468" t="s">
        <v>4845</v>
      </c>
      <c r="D446" s="468" t="s">
        <v>4841</v>
      </c>
      <c r="E446" s="468" t="s">
        <v>4842</v>
      </c>
      <c r="F446" s="468" t="s">
        <v>4843</v>
      </c>
      <c r="G446" s="466">
        <v>6</v>
      </c>
      <c r="H446" s="465">
        <v>5</v>
      </c>
      <c r="I446" s="466"/>
      <c r="J446" s="466"/>
      <c r="K446" s="466">
        <v>6</v>
      </c>
      <c r="L446" s="506">
        <v>7</v>
      </c>
      <c r="M446" s="463">
        <v>5961</v>
      </c>
      <c r="N446" s="468" t="s">
        <v>4539</v>
      </c>
      <c r="O446" s="466">
        <v>6</v>
      </c>
      <c r="P446" s="523">
        <v>-10</v>
      </c>
      <c r="Q446" s="462">
        <v>6.8981481481481487E-4</v>
      </c>
      <c r="R446" s="463">
        <v>153</v>
      </c>
      <c r="S446" s="466"/>
      <c r="T446" s="524" t="s">
        <v>4844</v>
      </c>
      <c r="W446" s="460"/>
      <c r="AY446" s="486" t="str">
        <f t="shared" si="26"/>
        <v/>
      </c>
      <c r="AZ446" s="487" t="str">
        <f t="shared" si="25"/>
        <v/>
      </c>
      <c r="CH446" s="459"/>
    </row>
    <row r="447" spans="1:86" s="461" customFormat="1" ht="12" customHeight="1" x14ac:dyDescent="0.15">
      <c r="A447" s="522" t="s">
        <v>2343</v>
      </c>
      <c r="B447" s="467">
        <v>42511</v>
      </c>
      <c r="C447" s="468" t="s">
        <v>4767</v>
      </c>
      <c r="D447" s="468" t="s">
        <v>4768</v>
      </c>
      <c r="E447" s="468" t="s">
        <v>4851</v>
      </c>
      <c r="F447" s="468" t="s">
        <v>4840</v>
      </c>
      <c r="G447" s="466">
        <v>1</v>
      </c>
      <c r="H447" s="465">
        <v>17</v>
      </c>
      <c r="I447" s="466" t="s">
        <v>3730</v>
      </c>
      <c r="J447" s="466" t="s">
        <v>3770</v>
      </c>
      <c r="K447" s="466">
        <v>7</v>
      </c>
      <c r="L447" s="464" t="s">
        <v>431</v>
      </c>
      <c r="M447" s="463">
        <v>30000</v>
      </c>
      <c r="N447" s="468" t="s">
        <v>4838</v>
      </c>
      <c r="O447" s="466">
        <v>2</v>
      </c>
      <c r="P447" s="523">
        <v>-1.25</v>
      </c>
      <c r="Q447" s="462">
        <v>2.8032407407407411E-3</v>
      </c>
      <c r="R447" s="463">
        <v>5400</v>
      </c>
      <c r="S447" s="466"/>
      <c r="T447" s="524"/>
      <c r="W447" s="460"/>
      <c r="AY447" s="486" t="str">
        <f t="shared" si="26"/>
        <v/>
      </c>
      <c r="AZ447" s="487" t="str">
        <f t="shared" si="25"/>
        <v/>
      </c>
      <c r="CH447" s="459"/>
    </row>
    <row r="448" spans="1:86" s="461" customFormat="1" ht="12" customHeight="1" x14ac:dyDescent="0.15">
      <c r="A448" s="522" t="s">
        <v>4003</v>
      </c>
      <c r="B448" s="467">
        <v>42511</v>
      </c>
      <c r="C448" s="468" t="s">
        <v>4004</v>
      </c>
      <c r="D448" s="468" t="s">
        <v>4005</v>
      </c>
      <c r="E448" s="468" t="s">
        <v>3683</v>
      </c>
      <c r="F448" s="468" t="s">
        <v>3686</v>
      </c>
      <c r="G448" s="466">
        <v>1</v>
      </c>
      <c r="H448" s="465">
        <v>5.5</v>
      </c>
      <c r="I448" s="466"/>
      <c r="J448" s="466"/>
      <c r="K448" s="466">
        <v>7</v>
      </c>
      <c r="L448" s="525">
        <f>7/2</f>
        <v>3.5</v>
      </c>
      <c r="M448" s="463">
        <v>9029</v>
      </c>
      <c r="N448" s="468" t="s">
        <v>4695</v>
      </c>
      <c r="O448" s="466">
        <v>2</v>
      </c>
      <c r="P448" s="523">
        <v>-6.25</v>
      </c>
      <c r="Q448" s="462">
        <v>7.76273148148148E-4</v>
      </c>
      <c r="R448" s="463">
        <v>1903</v>
      </c>
      <c r="S448" s="466" t="s">
        <v>625</v>
      </c>
      <c r="T448" s="524" t="s">
        <v>3755</v>
      </c>
      <c r="W448" s="460"/>
      <c r="AY448" s="486">
        <f t="shared" si="26"/>
        <v>1903</v>
      </c>
      <c r="AZ448" s="487" t="str">
        <f t="shared" si="25"/>
        <v/>
      </c>
      <c r="CH448" s="459"/>
    </row>
    <row r="449" spans="1:90" s="469" customFormat="1" ht="12" customHeight="1" x14ac:dyDescent="0.15">
      <c r="A449" s="444" t="s">
        <v>4175</v>
      </c>
      <c r="B449" s="445">
        <v>42511</v>
      </c>
      <c r="C449" s="446" t="s">
        <v>2605</v>
      </c>
      <c r="D449" s="446" t="s">
        <v>4177</v>
      </c>
      <c r="E449" s="446" t="s">
        <v>5107</v>
      </c>
      <c r="F449" s="446" t="s">
        <v>3686</v>
      </c>
      <c r="G449" s="447">
        <v>6</v>
      </c>
      <c r="H449" s="447">
        <v>7.5</v>
      </c>
      <c r="I449" s="447"/>
      <c r="J449" s="447"/>
      <c r="K449" s="447">
        <v>11</v>
      </c>
      <c r="L449" s="449">
        <v>5</v>
      </c>
      <c r="M449" s="450">
        <v>6103</v>
      </c>
      <c r="N449" s="446" t="s">
        <v>3225</v>
      </c>
      <c r="O449" s="447">
        <v>1</v>
      </c>
      <c r="P449" s="451" t="s">
        <v>4378</v>
      </c>
      <c r="Q449" s="452">
        <v>1.0631944444444445E-3</v>
      </c>
      <c r="R449" s="450">
        <v>3676</v>
      </c>
      <c r="S449" s="447" t="s">
        <v>625</v>
      </c>
      <c r="T449" s="453"/>
      <c r="U449" s="454"/>
      <c r="V449" s="454"/>
      <c r="W449" s="455"/>
      <c r="X449" s="454"/>
      <c r="Y449" s="454"/>
      <c r="Z449" s="454"/>
      <c r="AA449" s="454"/>
      <c r="AB449" s="454"/>
      <c r="AC449" s="454"/>
      <c r="AD449" s="454"/>
      <c r="AE449" s="454"/>
      <c r="AF449" s="454"/>
      <c r="AG449" s="454"/>
      <c r="AH449" s="454"/>
      <c r="AI449" s="454"/>
      <c r="AJ449" s="454"/>
      <c r="AK449" s="454"/>
      <c r="AL449" s="454"/>
      <c r="AM449" s="454"/>
      <c r="AN449" s="454"/>
      <c r="AO449" s="454"/>
      <c r="AP449" s="454"/>
      <c r="AQ449" s="454"/>
      <c r="AR449" s="454"/>
      <c r="AS449" s="454"/>
      <c r="AT449" s="454"/>
      <c r="AU449" s="454"/>
      <c r="AV449" s="454"/>
      <c r="AW449" s="454"/>
      <c r="AX449" s="454"/>
      <c r="AY449" s="486">
        <f t="shared" si="26"/>
        <v>3676</v>
      </c>
      <c r="AZ449" s="487">
        <f t="shared" si="25"/>
        <v>1</v>
      </c>
      <c r="BA449" s="454"/>
      <c r="BB449" s="454"/>
      <c r="BC449" s="454"/>
      <c r="BD449" s="454"/>
      <c r="BE449" s="454"/>
      <c r="BF449" s="454"/>
      <c r="BG449" s="454"/>
      <c r="BH449" s="454"/>
      <c r="BI449" s="454"/>
      <c r="BJ449" s="454"/>
      <c r="BK449" s="454"/>
      <c r="BL449" s="454"/>
      <c r="BM449" s="454"/>
      <c r="BN449" s="454"/>
      <c r="BO449" s="454"/>
      <c r="BP449" s="454"/>
      <c r="BQ449" s="454"/>
      <c r="BR449" s="454"/>
      <c r="BS449" s="454"/>
      <c r="BT449" s="454"/>
      <c r="BU449" s="454"/>
      <c r="BV449" s="454"/>
      <c r="BW449" s="454"/>
      <c r="BX449" s="454"/>
      <c r="BY449" s="454"/>
      <c r="BZ449" s="454"/>
      <c r="CA449" s="454"/>
      <c r="CB449" s="454"/>
      <c r="CC449" s="454"/>
      <c r="CD449" s="454"/>
      <c r="CE449" s="454"/>
      <c r="CF449" s="454"/>
      <c r="CG449" s="454"/>
      <c r="CH449" s="456"/>
      <c r="CI449" s="454"/>
      <c r="CJ449" s="454"/>
      <c r="CK449" s="454"/>
      <c r="CL449" s="454"/>
    </row>
    <row r="450" spans="1:90" s="461" customFormat="1" ht="12" customHeight="1" x14ac:dyDescent="0.15">
      <c r="A450" s="522" t="s">
        <v>3838</v>
      </c>
      <c r="B450" s="467">
        <v>42511</v>
      </c>
      <c r="C450" s="468" t="s">
        <v>3841</v>
      </c>
      <c r="D450" s="468" t="s">
        <v>3837</v>
      </c>
      <c r="E450" s="468" t="s">
        <v>3848</v>
      </c>
      <c r="F450" s="468" t="s">
        <v>3686</v>
      </c>
      <c r="G450" s="466">
        <v>6</v>
      </c>
      <c r="H450" s="465">
        <v>7.5</v>
      </c>
      <c r="I450" s="466"/>
      <c r="J450" s="466"/>
      <c r="K450" s="466">
        <v>11</v>
      </c>
      <c r="L450" s="525">
        <v>3</v>
      </c>
      <c r="M450" s="463">
        <v>6103</v>
      </c>
      <c r="N450" s="468" t="s">
        <v>3225</v>
      </c>
      <c r="O450" s="466">
        <v>3</v>
      </c>
      <c r="P450" s="523">
        <v>-3.75</v>
      </c>
      <c r="Q450" s="462">
        <v>1.0631944444444445E-3</v>
      </c>
      <c r="R450" s="463">
        <v>797</v>
      </c>
      <c r="S450" s="466" t="s">
        <v>625</v>
      </c>
      <c r="T450" s="524" t="s">
        <v>4854</v>
      </c>
      <c r="W450" s="460"/>
      <c r="AY450" s="486">
        <f t="shared" si="26"/>
        <v>797</v>
      </c>
      <c r="AZ450" s="487" t="str">
        <f t="shared" si="25"/>
        <v/>
      </c>
      <c r="CH450" s="459"/>
    </row>
    <row r="451" spans="1:90" s="461" customFormat="1" ht="12" customHeight="1" x14ac:dyDescent="0.15">
      <c r="A451" s="522" t="s">
        <v>4012</v>
      </c>
      <c r="B451" s="467">
        <v>42511</v>
      </c>
      <c r="C451" s="468" t="s">
        <v>4019</v>
      </c>
      <c r="D451" s="468" t="s">
        <v>4020</v>
      </c>
      <c r="E451" s="468" t="s">
        <v>4299</v>
      </c>
      <c r="F451" s="468" t="s">
        <v>3686</v>
      </c>
      <c r="G451" s="466">
        <v>6</v>
      </c>
      <c r="H451" s="465">
        <v>7.5</v>
      </c>
      <c r="I451" s="466"/>
      <c r="J451" s="466"/>
      <c r="K451" s="466">
        <v>11</v>
      </c>
      <c r="L451" s="525">
        <v>12</v>
      </c>
      <c r="M451" s="463">
        <v>6103</v>
      </c>
      <c r="N451" s="468" t="s">
        <v>3225</v>
      </c>
      <c r="O451" s="466">
        <v>4</v>
      </c>
      <c r="P451" s="523">
        <v>-5</v>
      </c>
      <c r="Q451" s="462">
        <v>1.0631944444444445E-3</v>
      </c>
      <c r="R451" s="463">
        <v>368</v>
      </c>
      <c r="S451" s="466" t="s">
        <v>625</v>
      </c>
      <c r="T451" s="524"/>
      <c r="W451" s="460"/>
      <c r="AY451" s="486">
        <f t="shared" si="26"/>
        <v>368</v>
      </c>
      <c r="AZ451" s="487" t="str">
        <f t="shared" si="25"/>
        <v/>
      </c>
      <c r="CH451" s="459"/>
    </row>
    <row r="452" spans="1:90" s="461" customFormat="1" ht="12" customHeight="1" x14ac:dyDescent="0.15">
      <c r="A452" s="522" t="s">
        <v>3776</v>
      </c>
      <c r="B452" s="467">
        <v>42511</v>
      </c>
      <c r="C452" s="468" t="s">
        <v>3726</v>
      </c>
      <c r="D452" s="468" t="s">
        <v>3725</v>
      </c>
      <c r="E452" s="468" t="s">
        <v>3684</v>
      </c>
      <c r="F452" s="468" t="s">
        <v>3686</v>
      </c>
      <c r="G452" s="466">
        <v>7</v>
      </c>
      <c r="H452" s="465">
        <v>7.5</v>
      </c>
      <c r="I452" s="466"/>
      <c r="J452" s="466"/>
      <c r="K452" s="466">
        <v>12</v>
      </c>
      <c r="L452" s="525">
        <f>7/2</f>
        <v>3.5</v>
      </c>
      <c r="M452" s="463">
        <v>7169</v>
      </c>
      <c r="N452" s="468" t="s">
        <v>3225</v>
      </c>
      <c r="O452" s="466">
        <v>3</v>
      </c>
      <c r="P452" s="523">
        <v>-2.75</v>
      </c>
      <c r="Q452" s="462">
        <v>1.0604166666666668E-3</v>
      </c>
      <c r="R452" s="463">
        <v>936</v>
      </c>
      <c r="S452" s="466" t="s">
        <v>625</v>
      </c>
      <c r="T452" s="524"/>
      <c r="W452" s="460"/>
      <c r="AY452" s="486">
        <f t="shared" si="26"/>
        <v>936</v>
      </c>
      <c r="AZ452" s="487" t="str">
        <f t="shared" si="25"/>
        <v/>
      </c>
      <c r="CH452" s="459"/>
    </row>
    <row r="453" spans="1:90" s="461" customFormat="1" ht="12" customHeight="1" x14ac:dyDescent="0.15">
      <c r="A453" s="522" t="s">
        <v>3903</v>
      </c>
      <c r="B453" s="467">
        <v>42511</v>
      </c>
      <c r="C453" s="468" t="s">
        <v>3904</v>
      </c>
      <c r="D453" s="468" t="s">
        <v>3905</v>
      </c>
      <c r="E453" s="468" t="s">
        <v>3683</v>
      </c>
      <c r="F453" s="468" t="s">
        <v>3686</v>
      </c>
      <c r="G453" s="466">
        <v>8</v>
      </c>
      <c r="H453" s="465">
        <v>5.5</v>
      </c>
      <c r="I453" s="466"/>
      <c r="J453" s="466"/>
      <c r="K453" s="466">
        <v>10</v>
      </c>
      <c r="L453" s="525">
        <f>7/2</f>
        <v>3.5</v>
      </c>
      <c r="M453" s="463">
        <v>6730</v>
      </c>
      <c r="N453" s="468" t="s">
        <v>3225</v>
      </c>
      <c r="O453" s="466">
        <v>7</v>
      </c>
      <c r="P453" s="523">
        <v>-9.25</v>
      </c>
      <c r="Q453" s="462">
        <v>7.4861111111111124E-4</v>
      </c>
      <c r="R453" s="463">
        <v>99</v>
      </c>
      <c r="S453" s="466" t="s">
        <v>625</v>
      </c>
      <c r="T453" s="524" t="s">
        <v>3755</v>
      </c>
      <c r="W453" s="460"/>
      <c r="AY453" s="486">
        <f t="shared" si="26"/>
        <v>99</v>
      </c>
      <c r="AZ453" s="487" t="str">
        <f t="shared" si="25"/>
        <v/>
      </c>
      <c r="CH453" s="459"/>
    </row>
    <row r="454" spans="1:90" s="461" customFormat="1" ht="12" customHeight="1" x14ac:dyDescent="0.15">
      <c r="A454" s="522" t="s">
        <v>3328</v>
      </c>
      <c r="B454" s="467">
        <v>42511</v>
      </c>
      <c r="C454" s="468" t="s">
        <v>3329</v>
      </c>
      <c r="D454" s="468" t="s">
        <v>3598</v>
      </c>
      <c r="E454" s="468" t="s">
        <v>3698</v>
      </c>
      <c r="F454" s="468" t="s">
        <v>3686</v>
      </c>
      <c r="G454" s="466">
        <v>8</v>
      </c>
      <c r="H454" s="465">
        <v>5.5</v>
      </c>
      <c r="I454" s="466"/>
      <c r="J454" s="466"/>
      <c r="K454" s="466">
        <v>10</v>
      </c>
      <c r="L454" s="525">
        <v>6</v>
      </c>
      <c r="M454" s="463">
        <v>6730</v>
      </c>
      <c r="N454" s="468" t="s">
        <v>3225</v>
      </c>
      <c r="O454" s="466">
        <v>10</v>
      </c>
      <c r="P454" s="523">
        <v>-13.75</v>
      </c>
      <c r="Q454" s="462">
        <v>7.4861111111111124E-4</v>
      </c>
      <c r="R454" s="463">
        <v>99</v>
      </c>
      <c r="S454" s="466" t="s">
        <v>625</v>
      </c>
      <c r="T454" s="524"/>
      <c r="W454" s="460"/>
      <c r="AY454" s="486">
        <f t="shared" si="26"/>
        <v>99</v>
      </c>
      <c r="AZ454" s="487" t="str">
        <f t="shared" si="25"/>
        <v/>
      </c>
      <c r="CH454" s="459"/>
    </row>
    <row r="455" spans="1:90" s="469" customFormat="1" ht="12" customHeight="1" x14ac:dyDescent="0.15">
      <c r="A455" s="444" t="s">
        <v>3369</v>
      </c>
      <c r="B455" s="445">
        <v>42511</v>
      </c>
      <c r="C455" s="446" t="s">
        <v>3370</v>
      </c>
      <c r="D455" s="446" t="s">
        <v>3902</v>
      </c>
      <c r="E455" s="446" t="s">
        <v>4712</v>
      </c>
      <c r="F455" s="446" t="s">
        <v>3686</v>
      </c>
      <c r="G455" s="447">
        <v>9</v>
      </c>
      <c r="H455" s="447">
        <v>5.5</v>
      </c>
      <c r="I455" s="447"/>
      <c r="J455" s="447"/>
      <c r="K455" s="447">
        <v>14</v>
      </c>
      <c r="L455" s="449">
        <f>9/2</f>
        <v>4.5</v>
      </c>
      <c r="M455" s="450">
        <v>5476</v>
      </c>
      <c r="N455" s="446" t="s">
        <v>3225</v>
      </c>
      <c r="O455" s="447">
        <v>1</v>
      </c>
      <c r="P455" s="451">
        <v>-1.75</v>
      </c>
      <c r="Q455" s="452">
        <v>7.6875000000000001E-4</v>
      </c>
      <c r="R455" s="450">
        <v>3298</v>
      </c>
      <c r="S455" s="447" t="s">
        <v>625</v>
      </c>
      <c r="T455" s="453"/>
      <c r="U455" s="454"/>
      <c r="V455" s="454"/>
      <c r="W455" s="455"/>
      <c r="X455" s="454"/>
      <c r="Y455" s="454"/>
      <c r="Z455" s="454"/>
      <c r="AA455" s="454"/>
      <c r="AB455" s="454"/>
      <c r="AC455" s="454"/>
      <c r="AD455" s="454"/>
      <c r="AE455" s="454"/>
      <c r="AF455" s="454"/>
      <c r="AG455" s="454"/>
      <c r="AH455" s="454"/>
      <c r="AI455" s="454"/>
      <c r="AJ455" s="454"/>
      <c r="AK455" s="454"/>
      <c r="AL455" s="454"/>
      <c r="AM455" s="454"/>
      <c r="AN455" s="454"/>
      <c r="AO455" s="454"/>
      <c r="AP455" s="454"/>
      <c r="AQ455" s="454"/>
      <c r="AR455" s="454"/>
      <c r="AS455" s="454"/>
      <c r="AT455" s="454"/>
      <c r="AU455" s="454"/>
      <c r="AV455" s="454"/>
      <c r="AW455" s="454"/>
      <c r="AX455" s="454"/>
      <c r="AY455" s="486">
        <f t="shared" si="26"/>
        <v>3298</v>
      </c>
      <c r="AZ455" s="487">
        <f t="shared" si="25"/>
        <v>1</v>
      </c>
      <c r="BA455" s="454"/>
      <c r="BB455" s="454"/>
      <c r="BC455" s="454"/>
      <c r="BD455" s="454"/>
      <c r="BE455" s="454"/>
      <c r="BF455" s="454"/>
      <c r="BG455" s="454"/>
      <c r="BH455" s="454"/>
      <c r="BI455" s="454"/>
      <c r="BJ455" s="454"/>
      <c r="BK455" s="454"/>
      <c r="BL455" s="454"/>
      <c r="BM455" s="454"/>
      <c r="BN455" s="454"/>
      <c r="BO455" s="454"/>
      <c r="BP455" s="454"/>
      <c r="BQ455" s="454"/>
      <c r="BR455" s="454"/>
      <c r="BS455" s="454"/>
      <c r="BT455" s="454"/>
      <c r="BU455" s="454"/>
      <c r="BV455" s="454"/>
      <c r="BW455" s="454"/>
      <c r="BX455" s="454"/>
      <c r="BY455" s="454"/>
      <c r="BZ455" s="454"/>
      <c r="CA455" s="454"/>
      <c r="CB455" s="454"/>
      <c r="CC455" s="454"/>
      <c r="CD455" s="454"/>
      <c r="CE455" s="454"/>
      <c r="CF455" s="454"/>
      <c r="CG455" s="454"/>
      <c r="CH455" s="456"/>
      <c r="CI455" s="454"/>
      <c r="CJ455" s="454"/>
      <c r="CK455" s="454"/>
      <c r="CL455" s="454"/>
    </row>
    <row r="456" spans="1:90" s="461" customFormat="1" ht="12" customHeight="1" x14ac:dyDescent="0.15">
      <c r="A456" s="522" t="s">
        <v>122</v>
      </c>
      <c r="B456" s="467">
        <v>42511</v>
      </c>
      <c r="C456" s="468" t="s">
        <v>4346</v>
      </c>
      <c r="D456" s="468" t="s">
        <v>4347</v>
      </c>
      <c r="E456" s="468" t="s">
        <v>4212</v>
      </c>
      <c r="F456" s="468" t="s">
        <v>1162</v>
      </c>
      <c r="G456" s="466">
        <v>7</v>
      </c>
      <c r="H456" s="465">
        <v>8</v>
      </c>
      <c r="I456" s="466" t="s">
        <v>1360</v>
      </c>
      <c r="J456" s="466"/>
      <c r="K456" s="466">
        <v>11</v>
      </c>
      <c r="L456" s="506">
        <v>15</v>
      </c>
      <c r="M456" s="463">
        <v>100000</v>
      </c>
      <c r="N456" s="468" t="s">
        <v>4797</v>
      </c>
      <c r="O456" s="466">
        <v>2</v>
      </c>
      <c r="P456" s="523">
        <v>-1</v>
      </c>
      <c r="Q456" s="462">
        <v>1.1140046296296295E-3</v>
      </c>
      <c r="R456" s="463">
        <v>19200</v>
      </c>
      <c r="S456" s="466"/>
      <c r="T456" s="524"/>
      <c r="W456" s="460"/>
      <c r="AY456" s="486" t="str">
        <f t="shared" si="26"/>
        <v/>
      </c>
      <c r="AZ456" s="487" t="str">
        <f t="shared" si="25"/>
        <v/>
      </c>
      <c r="CH456" s="459"/>
    </row>
    <row r="457" spans="1:90" s="469" customFormat="1" ht="12" customHeight="1" x14ac:dyDescent="0.15">
      <c r="A457" s="444" t="s">
        <v>4829</v>
      </c>
      <c r="B457" s="445">
        <v>42511</v>
      </c>
      <c r="C457" s="446" t="s">
        <v>2609</v>
      </c>
      <c r="D457" s="446" t="s">
        <v>4176</v>
      </c>
      <c r="E457" s="446" t="s">
        <v>3695</v>
      </c>
      <c r="F457" s="446" t="s">
        <v>3686</v>
      </c>
      <c r="G457" s="447">
        <v>11</v>
      </c>
      <c r="H457" s="447">
        <v>6</v>
      </c>
      <c r="I457" s="447"/>
      <c r="J457" s="447"/>
      <c r="K457" s="447">
        <v>14</v>
      </c>
      <c r="L457" s="449">
        <v>5</v>
      </c>
      <c r="M457" s="450">
        <v>5476</v>
      </c>
      <c r="N457" s="446" t="s">
        <v>3653</v>
      </c>
      <c r="O457" s="447">
        <v>1</v>
      </c>
      <c r="P457" s="451">
        <v>3</v>
      </c>
      <c r="Q457" s="452">
        <v>8.1620370370370364E-4</v>
      </c>
      <c r="R457" s="450">
        <v>3298</v>
      </c>
      <c r="S457" s="447" t="s">
        <v>625</v>
      </c>
      <c r="T457" s="453" t="s">
        <v>4198</v>
      </c>
      <c r="U457" s="454"/>
      <c r="V457" s="454"/>
      <c r="W457" s="455"/>
      <c r="X457" s="454"/>
      <c r="Y457" s="454"/>
      <c r="Z457" s="454"/>
      <c r="AA457" s="454"/>
      <c r="AB457" s="454"/>
      <c r="AC457" s="454"/>
      <c r="AD457" s="454"/>
      <c r="AE457" s="454"/>
      <c r="AF457" s="454"/>
      <c r="AG457" s="454"/>
      <c r="AH457" s="454"/>
      <c r="AI457" s="454"/>
      <c r="AJ457" s="454"/>
      <c r="AK457" s="454"/>
      <c r="AL457" s="454"/>
      <c r="AM457" s="454"/>
      <c r="AN457" s="454"/>
      <c r="AO457" s="454"/>
      <c r="AP457" s="454"/>
      <c r="AQ457" s="454"/>
      <c r="AR457" s="454"/>
      <c r="AS457" s="454"/>
      <c r="AT457" s="454"/>
      <c r="AU457" s="454"/>
      <c r="AV457" s="454"/>
      <c r="AW457" s="454"/>
      <c r="AX457" s="454"/>
      <c r="AY457" s="486">
        <f t="shared" si="26"/>
        <v>3298</v>
      </c>
      <c r="AZ457" s="487">
        <f t="shared" si="25"/>
        <v>1</v>
      </c>
      <c r="BA457" s="454"/>
      <c r="BB457" s="454"/>
      <c r="BC457" s="454"/>
      <c r="BD457" s="454"/>
      <c r="BE457" s="454"/>
      <c r="BF457" s="454"/>
      <c r="BG457" s="454"/>
      <c r="BH457" s="454"/>
      <c r="BI457" s="454"/>
      <c r="BJ457" s="454"/>
      <c r="BK457" s="454"/>
      <c r="BL457" s="454"/>
      <c r="BM457" s="454"/>
      <c r="BN457" s="454"/>
      <c r="BO457" s="454"/>
      <c r="BP457" s="454"/>
      <c r="BQ457" s="454"/>
      <c r="BR457" s="454"/>
      <c r="BS457" s="454"/>
      <c r="BT457" s="454"/>
      <c r="BU457" s="454"/>
      <c r="BV457" s="454"/>
      <c r="BW457" s="454"/>
      <c r="BX457" s="454"/>
      <c r="BY457" s="454"/>
      <c r="BZ457" s="454"/>
      <c r="CA457" s="454"/>
      <c r="CB457" s="454"/>
      <c r="CC457" s="454"/>
      <c r="CD457" s="454"/>
      <c r="CE457" s="454"/>
      <c r="CF457" s="454"/>
      <c r="CG457" s="454"/>
      <c r="CH457" s="456"/>
      <c r="CI457" s="454"/>
      <c r="CJ457" s="454"/>
      <c r="CK457" s="454"/>
      <c r="CL457" s="454"/>
    </row>
    <row r="458" spans="1:90" s="469" customFormat="1" ht="12" customHeight="1" x14ac:dyDescent="0.15">
      <c r="A458" s="471" t="s">
        <v>4878</v>
      </c>
      <c r="B458" s="472">
        <v>42511</v>
      </c>
      <c r="C458" s="471" t="s">
        <v>4697</v>
      </c>
      <c r="D458" s="471" t="s">
        <v>4520</v>
      </c>
      <c r="E458" s="471" t="s">
        <v>4535</v>
      </c>
      <c r="F458" s="471" t="s">
        <v>3686</v>
      </c>
      <c r="G458" s="473">
        <v>12</v>
      </c>
      <c r="H458" s="474">
        <v>5.5</v>
      </c>
      <c r="I458" s="475"/>
      <c r="J458" s="475"/>
      <c r="K458" s="473">
        <v>13</v>
      </c>
      <c r="L458" s="458">
        <v>10</v>
      </c>
      <c r="M458" s="476">
        <v>6416</v>
      </c>
      <c r="N458" s="471" t="s">
        <v>3225</v>
      </c>
      <c r="O458" s="477" t="s">
        <v>431</v>
      </c>
      <c r="P458" s="478" t="s">
        <v>431</v>
      </c>
      <c r="Q458" s="479" t="s">
        <v>431</v>
      </c>
      <c r="R458" s="480" t="s">
        <v>431</v>
      </c>
      <c r="S458" s="477"/>
      <c r="T458" s="481" t="s">
        <v>4303</v>
      </c>
      <c r="U458" s="482"/>
      <c r="V458" s="482"/>
      <c r="W458" s="483"/>
      <c r="X458" s="482"/>
      <c r="Y458" s="482"/>
      <c r="Z458" s="482"/>
      <c r="AA458" s="482"/>
      <c r="AB458" s="482"/>
      <c r="AC458" s="482"/>
      <c r="AD458" s="482"/>
      <c r="AE458" s="482"/>
      <c r="AF458" s="482"/>
      <c r="AG458" s="482"/>
      <c r="AH458" s="482"/>
      <c r="AI458" s="482"/>
      <c r="AJ458" s="482"/>
      <c r="AK458" s="482"/>
      <c r="AL458" s="482"/>
      <c r="AM458" s="482"/>
      <c r="AN458" s="482"/>
      <c r="AO458" s="482"/>
      <c r="AP458" s="482"/>
      <c r="AQ458" s="482"/>
      <c r="AR458" s="482"/>
      <c r="AS458" s="482"/>
      <c r="AT458" s="482"/>
      <c r="AU458" s="482"/>
      <c r="AV458" s="482"/>
      <c r="AW458" s="482"/>
      <c r="AX458" s="482"/>
      <c r="AY458" s="486" t="str">
        <f t="shared" si="26"/>
        <v/>
      </c>
      <c r="AZ458" s="487" t="str">
        <f t="shared" si="25"/>
        <v/>
      </c>
      <c r="BA458" s="482"/>
      <c r="BB458" s="482"/>
      <c r="BC458" s="482"/>
      <c r="BD458" s="482"/>
      <c r="BE458" s="482"/>
      <c r="BF458" s="482"/>
      <c r="BG458" s="482"/>
      <c r="BH458" s="482"/>
      <c r="BI458" s="482"/>
      <c r="BJ458" s="482"/>
      <c r="BK458" s="482"/>
      <c r="BL458" s="482"/>
      <c r="BM458" s="482"/>
      <c r="BN458" s="482"/>
      <c r="BO458" s="482"/>
      <c r="BP458" s="482"/>
      <c r="BQ458" s="482"/>
      <c r="BR458" s="482"/>
      <c r="BS458" s="482"/>
      <c r="BT458" s="482"/>
      <c r="BU458" s="482"/>
      <c r="BV458" s="482"/>
      <c r="BW458" s="482"/>
      <c r="BX458" s="482"/>
      <c r="BY458" s="482"/>
      <c r="BZ458" s="482"/>
      <c r="CA458" s="482"/>
      <c r="CB458" s="482"/>
      <c r="CC458" s="482"/>
      <c r="CD458" s="482"/>
      <c r="CE458" s="482"/>
      <c r="CF458" s="482"/>
      <c r="CG458" s="482"/>
      <c r="CH458" s="484"/>
    </row>
    <row r="459" spans="1:90" s="469" customFormat="1" ht="12" customHeight="1" x14ac:dyDescent="0.15">
      <c r="A459" s="471" t="s">
        <v>4879</v>
      </c>
      <c r="B459" s="472">
        <v>42511</v>
      </c>
      <c r="C459" s="471" t="s">
        <v>4519</v>
      </c>
      <c r="D459" s="471" t="s">
        <v>4520</v>
      </c>
      <c r="E459" s="471" t="s">
        <v>4852</v>
      </c>
      <c r="F459" s="471" t="s">
        <v>3686</v>
      </c>
      <c r="G459" s="473">
        <v>12</v>
      </c>
      <c r="H459" s="474">
        <v>5.5</v>
      </c>
      <c r="I459" s="475"/>
      <c r="J459" s="475"/>
      <c r="K459" s="473">
        <v>13</v>
      </c>
      <c r="L459" s="458">
        <v>5</v>
      </c>
      <c r="M459" s="476">
        <v>6416</v>
      </c>
      <c r="N459" s="471" t="s">
        <v>3225</v>
      </c>
      <c r="O459" s="477" t="s">
        <v>431</v>
      </c>
      <c r="P459" s="478" t="s">
        <v>431</v>
      </c>
      <c r="Q459" s="479" t="s">
        <v>431</v>
      </c>
      <c r="R459" s="480" t="s">
        <v>431</v>
      </c>
      <c r="S459" s="477"/>
      <c r="T459" s="481" t="s">
        <v>4303</v>
      </c>
      <c r="U459" s="482"/>
      <c r="V459" s="482"/>
      <c r="W459" s="483"/>
      <c r="X459" s="482"/>
      <c r="Y459" s="482"/>
      <c r="Z459" s="482"/>
      <c r="AA459" s="482"/>
      <c r="AB459" s="482"/>
      <c r="AC459" s="482"/>
      <c r="AD459" s="482"/>
      <c r="AE459" s="482"/>
      <c r="AF459" s="482"/>
      <c r="AG459" s="482"/>
      <c r="AH459" s="482"/>
      <c r="AI459" s="482"/>
      <c r="AJ459" s="482"/>
      <c r="AK459" s="482"/>
      <c r="AL459" s="482"/>
      <c r="AM459" s="482"/>
      <c r="AN459" s="482"/>
      <c r="AO459" s="482"/>
      <c r="AP459" s="482"/>
      <c r="AQ459" s="482"/>
      <c r="AR459" s="482"/>
      <c r="AS459" s="482"/>
      <c r="AT459" s="482"/>
      <c r="AU459" s="482"/>
      <c r="AV459" s="482"/>
      <c r="AW459" s="482"/>
      <c r="AX459" s="482"/>
      <c r="AY459" s="486" t="str">
        <f t="shared" si="26"/>
        <v/>
      </c>
      <c r="AZ459" s="487" t="str">
        <f t="shared" si="25"/>
        <v/>
      </c>
      <c r="BA459" s="482"/>
      <c r="BB459" s="482"/>
      <c r="BC459" s="482"/>
      <c r="BD459" s="482"/>
      <c r="BE459" s="482"/>
      <c r="BF459" s="482"/>
      <c r="BG459" s="482"/>
      <c r="BH459" s="482"/>
      <c r="BI459" s="482"/>
      <c r="BJ459" s="482"/>
      <c r="BK459" s="482"/>
      <c r="BL459" s="482"/>
      <c r="BM459" s="482"/>
      <c r="BN459" s="482"/>
      <c r="BO459" s="482"/>
      <c r="BP459" s="482"/>
      <c r="BQ459" s="482"/>
      <c r="BR459" s="482"/>
      <c r="BS459" s="482"/>
      <c r="BT459" s="482"/>
      <c r="BU459" s="482"/>
      <c r="BV459" s="482"/>
      <c r="BW459" s="482"/>
      <c r="BX459" s="482"/>
      <c r="BY459" s="482"/>
      <c r="BZ459" s="482"/>
      <c r="CA459" s="482"/>
      <c r="CB459" s="482"/>
      <c r="CC459" s="482"/>
      <c r="CD459" s="482"/>
      <c r="CE459" s="482"/>
      <c r="CF459" s="482"/>
      <c r="CG459" s="482"/>
      <c r="CH459" s="484"/>
    </row>
    <row r="460" spans="1:90" s="461" customFormat="1" ht="12" customHeight="1" x14ac:dyDescent="0.15">
      <c r="A460" s="522" t="s">
        <v>3455</v>
      </c>
      <c r="B460" s="467">
        <v>42512</v>
      </c>
      <c r="C460" s="468" t="s">
        <v>4525</v>
      </c>
      <c r="D460" s="468" t="s">
        <v>4524</v>
      </c>
      <c r="E460" s="468" t="s">
        <v>4536</v>
      </c>
      <c r="F460" s="468" t="s">
        <v>3685</v>
      </c>
      <c r="G460" s="466">
        <v>5</v>
      </c>
      <c r="H460" s="465">
        <v>5.5</v>
      </c>
      <c r="I460" s="466"/>
      <c r="J460" s="466"/>
      <c r="K460" s="466">
        <v>9</v>
      </c>
      <c r="L460" s="506">
        <v>4</v>
      </c>
      <c r="M460" s="463">
        <v>3129</v>
      </c>
      <c r="N460" s="468" t="s">
        <v>3225</v>
      </c>
      <c r="O460" s="466">
        <v>4</v>
      </c>
      <c r="P460" s="523">
        <v>-6</v>
      </c>
      <c r="Q460" s="462">
        <v>7.7384259259259257E-4</v>
      </c>
      <c r="R460" s="463">
        <v>170</v>
      </c>
      <c r="S460" s="466" t="s">
        <v>625</v>
      </c>
      <c r="T460" s="524" t="s">
        <v>3755</v>
      </c>
      <c r="W460" s="460"/>
      <c r="AY460" s="486">
        <f t="shared" si="26"/>
        <v>170</v>
      </c>
      <c r="AZ460" s="487" t="str">
        <f t="shared" si="25"/>
        <v/>
      </c>
      <c r="CH460" s="459"/>
    </row>
    <row r="461" spans="1:90" s="461" customFormat="1" ht="12" customHeight="1" x14ac:dyDescent="0.15">
      <c r="A461" s="522" t="s">
        <v>3154</v>
      </c>
      <c r="B461" s="467">
        <v>42512</v>
      </c>
      <c r="C461" s="468" t="s">
        <v>4170</v>
      </c>
      <c r="D461" s="468" t="s">
        <v>3705</v>
      </c>
      <c r="E461" s="468" t="s">
        <v>3856</v>
      </c>
      <c r="F461" s="468" t="s">
        <v>4171</v>
      </c>
      <c r="G461" s="466">
        <v>5</v>
      </c>
      <c r="H461" s="465">
        <v>8</v>
      </c>
      <c r="I461" s="466"/>
      <c r="J461" s="466" t="s">
        <v>960</v>
      </c>
      <c r="K461" s="466">
        <v>5</v>
      </c>
      <c r="L461" s="506">
        <f>5/2</f>
        <v>2.5</v>
      </c>
      <c r="M461" s="463">
        <v>51000</v>
      </c>
      <c r="N461" s="468" t="s">
        <v>4827</v>
      </c>
      <c r="O461" s="466">
        <v>2</v>
      </c>
      <c r="P461" s="523">
        <v>-10.75</v>
      </c>
      <c r="Q461" s="462">
        <v>1.1266203703703705E-3</v>
      </c>
      <c r="R461" s="463">
        <v>14280</v>
      </c>
      <c r="S461" s="466"/>
      <c r="T461" s="524" t="s">
        <v>3714</v>
      </c>
      <c r="W461" s="460"/>
      <c r="AY461" s="486" t="str">
        <f t="shared" si="26"/>
        <v/>
      </c>
      <c r="AZ461" s="487" t="str">
        <f t="shared" si="25"/>
        <v/>
      </c>
      <c r="CH461" s="459"/>
    </row>
    <row r="462" spans="1:90" s="469" customFormat="1" ht="12" customHeight="1" x14ac:dyDescent="0.15">
      <c r="A462" s="471" t="s">
        <v>2343</v>
      </c>
      <c r="B462" s="472">
        <v>42512</v>
      </c>
      <c r="C462" s="471" t="s">
        <v>4767</v>
      </c>
      <c r="D462" s="471" t="s">
        <v>4768</v>
      </c>
      <c r="E462" s="471" t="s">
        <v>4769</v>
      </c>
      <c r="F462" s="471" t="s">
        <v>4839</v>
      </c>
      <c r="G462" s="473">
        <v>5</v>
      </c>
      <c r="H462" s="474">
        <v>17</v>
      </c>
      <c r="I462" s="475"/>
      <c r="J462" s="475"/>
      <c r="K462" s="473">
        <v>10</v>
      </c>
      <c r="L462" s="485" t="s">
        <v>431</v>
      </c>
      <c r="M462" s="476">
        <v>25000</v>
      </c>
      <c r="N462" s="471" t="s">
        <v>4838</v>
      </c>
      <c r="O462" s="477" t="s">
        <v>431</v>
      </c>
      <c r="P462" s="478" t="s">
        <v>431</v>
      </c>
      <c r="Q462" s="479" t="s">
        <v>431</v>
      </c>
      <c r="R462" s="480" t="s">
        <v>431</v>
      </c>
      <c r="S462" s="477"/>
      <c r="T462" s="481" t="s">
        <v>4448</v>
      </c>
      <c r="U462" s="482"/>
      <c r="V462" s="482"/>
      <c r="W462" s="483"/>
      <c r="X462" s="482"/>
      <c r="Y462" s="482"/>
      <c r="Z462" s="482"/>
      <c r="AA462" s="482"/>
      <c r="AB462" s="482"/>
      <c r="AC462" s="482"/>
      <c r="AD462" s="482"/>
      <c r="AE462" s="482"/>
      <c r="AF462" s="482"/>
      <c r="AG462" s="482"/>
      <c r="AH462" s="482"/>
      <c r="AI462" s="482"/>
      <c r="AJ462" s="482"/>
      <c r="AK462" s="482"/>
      <c r="AL462" s="482"/>
      <c r="AM462" s="482"/>
      <c r="AN462" s="482"/>
      <c r="AO462" s="482"/>
      <c r="AP462" s="482"/>
      <c r="AQ462" s="482"/>
      <c r="AR462" s="482"/>
      <c r="AS462" s="482"/>
      <c r="AT462" s="482"/>
      <c r="AU462" s="482"/>
      <c r="AV462" s="482"/>
      <c r="AW462" s="482"/>
      <c r="AX462" s="482"/>
      <c r="AY462" s="486" t="str">
        <f t="shared" si="26"/>
        <v/>
      </c>
      <c r="AZ462" s="487" t="str">
        <f t="shared" si="25"/>
        <v/>
      </c>
      <c r="BA462" s="482"/>
      <c r="BB462" s="482"/>
      <c r="BC462" s="482"/>
      <c r="BD462" s="482"/>
      <c r="BE462" s="482"/>
      <c r="BF462" s="482"/>
      <c r="BG462" s="482"/>
      <c r="BH462" s="482"/>
      <c r="BI462" s="482"/>
      <c r="BJ462" s="482"/>
      <c r="BK462" s="482"/>
      <c r="BL462" s="482"/>
      <c r="BM462" s="482"/>
      <c r="BN462" s="482"/>
      <c r="BO462" s="482"/>
      <c r="BP462" s="482"/>
      <c r="BQ462" s="482"/>
      <c r="BR462" s="482"/>
      <c r="BS462" s="482"/>
      <c r="BT462" s="482"/>
      <c r="BU462" s="482"/>
      <c r="BV462" s="482"/>
      <c r="BW462" s="482"/>
      <c r="BX462" s="482"/>
      <c r="BY462" s="482"/>
      <c r="BZ462" s="482"/>
      <c r="CA462" s="482"/>
      <c r="CB462" s="482"/>
      <c r="CC462" s="482"/>
      <c r="CD462" s="482"/>
      <c r="CE462" s="482"/>
      <c r="CF462" s="482"/>
      <c r="CG462" s="482"/>
      <c r="CH462" s="484"/>
    </row>
    <row r="463" spans="1:90" s="461" customFormat="1" ht="12" customHeight="1" x14ac:dyDescent="0.15">
      <c r="A463" s="522" t="s">
        <v>4830</v>
      </c>
      <c r="B463" s="467">
        <v>42512</v>
      </c>
      <c r="C463" s="468" t="s">
        <v>3311</v>
      </c>
      <c r="D463" s="468" t="s">
        <v>4176</v>
      </c>
      <c r="E463" s="468" t="s">
        <v>3695</v>
      </c>
      <c r="F463" s="468" t="s">
        <v>3685</v>
      </c>
      <c r="G463" s="466">
        <v>9</v>
      </c>
      <c r="H463" s="465">
        <v>6</v>
      </c>
      <c r="I463" s="466"/>
      <c r="J463" s="466"/>
      <c r="K463" s="466">
        <v>11</v>
      </c>
      <c r="L463" s="506">
        <f>7/2</f>
        <v>3.5</v>
      </c>
      <c r="M463" s="463">
        <v>5159</v>
      </c>
      <c r="N463" s="468" t="s">
        <v>4006</v>
      </c>
      <c r="O463" s="466">
        <v>2</v>
      </c>
      <c r="P463" s="523">
        <v>-1</v>
      </c>
      <c r="Q463" s="462">
        <v>8.466435185185186E-4</v>
      </c>
      <c r="R463" s="463">
        <v>1082</v>
      </c>
      <c r="S463" s="466" t="s">
        <v>625</v>
      </c>
      <c r="T463" s="524" t="s">
        <v>3755</v>
      </c>
      <c r="W463" s="460"/>
      <c r="AY463" s="486">
        <f t="shared" si="26"/>
        <v>1082</v>
      </c>
      <c r="AZ463" s="487" t="str">
        <f t="shared" si="25"/>
        <v/>
      </c>
      <c r="CH463" s="459"/>
    </row>
    <row r="464" spans="1:90" s="461" customFormat="1" ht="12" customHeight="1" x14ac:dyDescent="0.15">
      <c r="A464" s="522" t="s">
        <v>33</v>
      </c>
      <c r="B464" s="467">
        <v>42512</v>
      </c>
      <c r="C464" s="468" t="s">
        <v>3715</v>
      </c>
      <c r="D464" s="468" t="s">
        <v>3716</v>
      </c>
      <c r="E464" s="468" t="s">
        <v>4853</v>
      </c>
      <c r="F464" s="468" t="s">
        <v>575</v>
      </c>
      <c r="G464" s="466">
        <v>7</v>
      </c>
      <c r="H464" s="465">
        <v>7</v>
      </c>
      <c r="I464" s="466"/>
      <c r="J464" s="466"/>
      <c r="K464" s="466">
        <v>11</v>
      </c>
      <c r="L464" s="506">
        <v>20</v>
      </c>
      <c r="M464" s="463">
        <v>17000</v>
      </c>
      <c r="N464" s="468" t="s">
        <v>197</v>
      </c>
      <c r="O464" s="466">
        <v>6</v>
      </c>
      <c r="P464" s="523">
        <v>-12</v>
      </c>
      <c r="Q464" s="462">
        <v>9.6643518518518519E-4</v>
      </c>
      <c r="R464" s="463">
        <v>85</v>
      </c>
      <c r="S464" s="466"/>
      <c r="T464" s="524"/>
      <c r="W464" s="460"/>
      <c r="AY464" s="486" t="str">
        <f t="shared" si="26"/>
        <v/>
      </c>
      <c r="AZ464" s="487" t="str">
        <f t="shared" si="25"/>
        <v/>
      </c>
      <c r="CH464" s="459"/>
    </row>
    <row r="465" spans="1:90" s="469" customFormat="1" ht="12" customHeight="1" x14ac:dyDescent="0.15">
      <c r="A465" s="444" t="s">
        <v>2364</v>
      </c>
      <c r="B465" s="445">
        <v>42512</v>
      </c>
      <c r="C465" s="446" t="s">
        <v>3922</v>
      </c>
      <c r="D465" s="446" t="s">
        <v>3923</v>
      </c>
      <c r="E465" s="446" t="s">
        <v>3924</v>
      </c>
      <c r="F465" s="446" t="s">
        <v>4828</v>
      </c>
      <c r="G465" s="447">
        <v>6</v>
      </c>
      <c r="H465" s="448">
        <v>6</v>
      </c>
      <c r="I465" s="447" t="s">
        <v>1360</v>
      </c>
      <c r="J465" s="447"/>
      <c r="K465" s="447">
        <v>10</v>
      </c>
      <c r="L465" s="449">
        <v>10</v>
      </c>
      <c r="M465" s="450">
        <v>10000</v>
      </c>
      <c r="N465" s="446" t="s">
        <v>197</v>
      </c>
      <c r="O465" s="447">
        <v>1</v>
      </c>
      <c r="P465" s="451">
        <v>-1</v>
      </c>
      <c r="Q465" s="452">
        <v>8.2511574074074074E-4</v>
      </c>
      <c r="R465" s="450">
        <v>7800</v>
      </c>
      <c r="S465" s="447"/>
      <c r="T465" s="453"/>
      <c r="U465" s="454"/>
      <c r="V465" s="454"/>
      <c r="W465" s="455"/>
      <c r="X465" s="454"/>
      <c r="Y465" s="454"/>
      <c r="Z465" s="454"/>
      <c r="AA465" s="454"/>
      <c r="AB465" s="454"/>
      <c r="AC465" s="454"/>
      <c r="AD465" s="454"/>
      <c r="AE465" s="454"/>
      <c r="AF465" s="454"/>
      <c r="AG465" s="454"/>
      <c r="AH465" s="454"/>
      <c r="AI465" s="454"/>
      <c r="AJ465" s="454"/>
      <c r="AK465" s="454"/>
      <c r="AL465" s="454"/>
      <c r="AM465" s="454"/>
      <c r="AN465" s="454"/>
      <c r="AO465" s="454"/>
      <c r="AP465" s="454"/>
      <c r="AQ465" s="454"/>
      <c r="AR465" s="454"/>
      <c r="AS465" s="454"/>
      <c r="AT465" s="454"/>
      <c r="AU465" s="454"/>
      <c r="AV465" s="454"/>
      <c r="AW465" s="454"/>
      <c r="AX465" s="454"/>
      <c r="AY465" s="486" t="str">
        <f t="shared" si="26"/>
        <v/>
      </c>
      <c r="AZ465" s="487">
        <f t="shared" si="25"/>
        <v>1</v>
      </c>
      <c r="BA465" s="454"/>
      <c r="BB465" s="454"/>
      <c r="BC465" s="454"/>
      <c r="BD465" s="454"/>
      <c r="BE465" s="454"/>
      <c r="BF465" s="454"/>
      <c r="BG465" s="454"/>
      <c r="BH465" s="454"/>
      <c r="BI465" s="454"/>
      <c r="BJ465" s="454"/>
      <c r="BK465" s="454"/>
      <c r="BL465" s="454"/>
      <c r="BM465" s="454"/>
      <c r="BN465" s="454"/>
      <c r="BO465" s="454"/>
      <c r="BP465" s="454"/>
      <c r="BQ465" s="454"/>
      <c r="BR465" s="454"/>
      <c r="BS465" s="454"/>
      <c r="BT465" s="454"/>
      <c r="BU465" s="454"/>
      <c r="BV465" s="454"/>
      <c r="BW465" s="454"/>
      <c r="BX465" s="454"/>
      <c r="BY465" s="454"/>
      <c r="BZ465" s="454"/>
      <c r="CA465" s="454"/>
      <c r="CB465" s="454"/>
      <c r="CC465" s="454"/>
      <c r="CD465" s="454"/>
      <c r="CE465" s="454"/>
      <c r="CF465" s="454"/>
      <c r="CG465" s="454"/>
      <c r="CH465" s="456"/>
      <c r="CI465" s="454"/>
      <c r="CJ465" s="454"/>
      <c r="CK465" s="454"/>
      <c r="CL465" s="454"/>
    </row>
    <row r="466" spans="1:90" s="461" customFormat="1" ht="12" customHeight="1" x14ac:dyDescent="0.15">
      <c r="A466" s="522" t="s">
        <v>2278</v>
      </c>
      <c r="B466" s="467">
        <v>42512</v>
      </c>
      <c r="C466" s="468" t="s">
        <v>4747</v>
      </c>
      <c r="D466" s="468" t="s">
        <v>4742</v>
      </c>
      <c r="E466" s="468" t="s">
        <v>3298</v>
      </c>
      <c r="F466" s="468" t="s">
        <v>4828</v>
      </c>
      <c r="G466" s="466">
        <v>8</v>
      </c>
      <c r="H466" s="465">
        <v>5.5</v>
      </c>
      <c r="I466" s="466" t="s">
        <v>1360</v>
      </c>
      <c r="J466" s="466"/>
      <c r="K466" s="466">
        <v>8</v>
      </c>
      <c r="L466" s="506">
        <v>4</v>
      </c>
      <c r="M466" s="463">
        <v>27000</v>
      </c>
      <c r="N466" s="468" t="s">
        <v>4211</v>
      </c>
      <c r="O466" s="466">
        <v>2</v>
      </c>
      <c r="P466" s="523">
        <v>-1.25</v>
      </c>
      <c r="Q466" s="462">
        <v>7.5636574074074072E-4</v>
      </c>
      <c r="R466" s="463">
        <v>5400</v>
      </c>
      <c r="S466" s="466"/>
      <c r="T466" s="524"/>
      <c r="W466" s="460"/>
      <c r="AY466" s="486" t="str">
        <f t="shared" ref="AY466:AY530" si="27">IF(S466="","",R466)</f>
        <v/>
      </c>
      <c r="AZ466" s="487" t="str">
        <f t="shared" ref="AZ466:AZ530" si="28">IF(F466="Pleasant Meadows","",IF(L466="","",IF(O466="--","",IF(O466=1,1,""))))</f>
        <v/>
      </c>
      <c r="CH466" s="459"/>
    </row>
    <row r="467" spans="1:90" s="461" customFormat="1" ht="12" customHeight="1" x14ac:dyDescent="0.15">
      <c r="A467" s="522" t="s">
        <v>1783</v>
      </c>
      <c r="B467" s="467">
        <v>42513</v>
      </c>
      <c r="C467" s="468" t="s">
        <v>4873</v>
      </c>
      <c r="D467" s="468" t="s">
        <v>4872</v>
      </c>
      <c r="E467" s="468" t="s">
        <v>4675</v>
      </c>
      <c r="F467" s="468" t="s">
        <v>4870</v>
      </c>
      <c r="G467" s="466">
        <v>3</v>
      </c>
      <c r="H467" s="465">
        <v>12</v>
      </c>
      <c r="I467" s="466"/>
      <c r="J467" s="466"/>
      <c r="K467" s="466">
        <v>13</v>
      </c>
      <c r="L467" s="464" t="s">
        <v>431</v>
      </c>
      <c r="M467" s="463" t="s">
        <v>4871</v>
      </c>
      <c r="N467" s="468" t="s">
        <v>4296</v>
      </c>
      <c r="O467" s="466">
        <v>6</v>
      </c>
      <c r="P467" s="523">
        <v>-20</v>
      </c>
      <c r="Q467" s="462">
        <v>1.8194444444444445E-3</v>
      </c>
      <c r="R467" s="463">
        <v>0</v>
      </c>
      <c r="S467" s="466" t="s">
        <v>625</v>
      </c>
      <c r="T467" s="524"/>
      <c r="W467" s="460"/>
      <c r="AY467" s="486">
        <f t="shared" si="27"/>
        <v>0</v>
      </c>
      <c r="AZ467" s="487" t="str">
        <f t="shared" si="28"/>
        <v/>
      </c>
      <c r="CH467" s="459"/>
    </row>
    <row r="468" spans="1:90" s="461" customFormat="1" ht="12" customHeight="1" x14ac:dyDescent="0.15">
      <c r="A468" s="522" t="s">
        <v>3178</v>
      </c>
      <c r="B468" s="467">
        <v>42513</v>
      </c>
      <c r="C468" s="468" t="s">
        <v>2268</v>
      </c>
      <c r="D468" s="468" t="s">
        <v>4224</v>
      </c>
      <c r="E468" s="468" t="s">
        <v>4628</v>
      </c>
      <c r="F468" s="468" t="s">
        <v>4171</v>
      </c>
      <c r="G468" s="466">
        <v>6</v>
      </c>
      <c r="H468" s="465">
        <v>8.3000000000000007</v>
      </c>
      <c r="I468" s="466"/>
      <c r="J468" s="466"/>
      <c r="K468" s="466">
        <v>7</v>
      </c>
      <c r="L468" s="506">
        <v>8</v>
      </c>
      <c r="M468" s="463">
        <v>51000</v>
      </c>
      <c r="N468" s="468" t="s">
        <v>4827</v>
      </c>
      <c r="O468" s="466">
        <v>5</v>
      </c>
      <c r="P468" s="523">
        <v>-11</v>
      </c>
      <c r="Q468" s="462">
        <v>1.191550925925926E-3</v>
      </c>
      <c r="R468" s="463">
        <v>1530</v>
      </c>
      <c r="S468" s="466"/>
      <c r="T468" s="524"/>
      <c r="W468" s="460"/>
      <c r="AY468" s="486" t="str">
        <f t="shared" si="27"/>
        <v/>
      </c>
      <c r="AZ468" s="487" t="str">
        <f t="shared" si="28"/>
        <v/>
      </c>
      <c r="CH468" s="459"/>
    </row>
    <row r="469" spans="1:90" s="461" customFormat="1" ht="12" customHeight="1" x14ac:dyDescent="0.15">
      <c r="A469" s="522" t="s">
        <v>2459</v>
      </c>
      <c r="B469" s="467">
        <v>42513</v>
      </c>
      <c r="C469" s="468" t="s">
        <v>3293</v>
      </c>
      <c r="D469" s="468" t="s">
        <v>3294</v>
      </c>
      <c r="E469" s="468" t="s">
        <v>4308</v>
      </c>
      <c r="F469" s="468" t="s">
        <v>881</v>
      </c>
      <c r="G469" s="466">
        <v>6</v>
      </c>
      <c r="H469" s="465">
        <v>6</v>
      </c>
      <c r="I469" s="466"/>
      <c r="J469" s="466"/>
      <c r="K469" s="466">
        <v>7</v>
      </c>
      <c r="L469" s="506">
        <v>2</v>
      </c>
      <c r="M469" s="463">
        <v>19000</v>
      </c>
      <c r="N469" s="468" t="s">
        <v>197</v>
      </c>
      <c r="O469" s="466">
        <v>2</v>
      </c>
      <c r="P469" s="523">
        <v>-3.75</v>
      </c>
      <c r="Q469" s="462">
        <v>8.4016203703703694E-4</v>
      </c>
      <c r="R469" s="463">
        <v>3800</v>
      </c>
      <c r="S469" s="466"/>
      <c r="T469" s="524" t="s">
        <v>3714</v>
      </c>
      <c r="W469" s="460"/>
      <c r="AY469" s="486" t="str">
        <f t="shared" si="27"/>
        <v/>
      </c>
      <c r="AZ469" s="487" t="str">
        <f t="shared" si="28"/>
        <v/>
      </c>
      <c r="CH469" s="459"/>
    </row>
    <row r="470" spans="1:90" s="461" customFormat="1" ht="12" customHeight="1" x14ac:dyDescent="0.15">
      <c r="A470" s="522" t="s">
        <v>3203</v>
      </c>
      <c r="B470" s="467">
        <v>42513</v>
      </c>
      <c r="C470" s="468" t="s">
        <v>4855</v>
      </c>
      <c r="D470" s="468" t="s">
        <v>4856</v>
      </c>
      <c r="E470" s="468" t="s">
        <v>4857</v>
      </c>
      <c r="F470" s="468" t="s">
        <v>4858</v>
      </c>
      <c r="G470" s="466">
        <v>7</v>
      </c>
      <c r="H470" s="465">
        <v>7</v>
      </c>
      <c r="I470" s="466" t="s">
        <v>1360</v>
      </c>
      <c r="J470" s="466"/>
      <c r="K470" s="466">
        <v>11</v>
      </c>
      <c r="L470" s="506">
        <v>15</v>
      </c>
      <c r="M470" s="463">
        <v>42565</v>
      </c>
      <c r="N470" s="468" t="s">
        <v>4636</v>
      </c>
      <c r="O470" s="466">
        <v>4</v>
      </c>
      <c r="P470" s="523">
        <v>-5.75</v>
      </c>
      <c r="Q470" s="462">
        <v>9.932870370370371E-4</v>
      </c>
      <c r="R470" s="463">
        <v>3070</v>
      </c>
      <c r="S470" s="466"/>
      <c r="T470" s="524"/>
      <c r="W470" s="460"/>
      <c r="AY470" s="486" t="str">
        <f t="shared" si="27"/>
        <v/>
      </c>
      <c r="AZ470" s="487" t="str">
        <f t="shared" si="28"/>
        <v/>
      </c>
      <c r="CH470" s="459"/>
    </row>
    <row r="471" spans="1:90" s="461" customFormat="1" ht="12" customHeight="1" x14ac:dyDescent="0.15">
      <c r="A471" s="522" t="s">
        <v>3266</v>
      </c>
      <c r="B471" s="467">
        <v>42513</v>
      </c>
      <c r="C471" s="468" t="s">
        <v>4333</v>
      </c>
      <c r="D471" s="468" t="s">
        <v>3705</v>
      </c>
      <c r="E471" s="468" t="s">
        <v>3856</v>
      </c>
      <c r="F471" s="468" t="s">
        <v>4171</v>
      </c>
      <c r="G471" s="466">
        <v>9</v>
      </c>
      <c r="H471" s="465">
        <v>6</v>
      </c>
      <c r="I471" s="466"/>
      <c r="J471" s="466"/>
      <c r="K471" s="466">
        <v>8</v>
      </c>
      <c r="L471" s="506">
        <f>5/2</f>
        <v>2.5</v>
      </c>
      <c r="M471" s="463">
        <v>50000</v>
      </c>
      <c r="N471" s="468" t="s">
        <v>4636</v>
      </c>
      <c r="O471" s="466">
        <v>3</v>
      </c>
      <c r="P471" s="523">
        <v>-4</v>
      </c>
      <c r="Q471" s="462">
        <v>8.1527777777777772E-4</v>
      </c>
      <c r="R471" s="463">
        <v>5500</v>
      </c>
      <c r="S471" s="466"/>
      <c r="T471" s="524" t="s">
        <v>4862</v>
      </c>
      <c r="W471" s="460"/>
      <c r="AY471" s="486" t="str">
        <f t="shared" si="27"/>
        <v/>
      </c>
      <c r="AZ471" s="487" t="str">
        <f t="shared" si="28"/>
        <v/>
      </c>
      <c r="CH471" s="459"/>
    </row>
    <row r="472" spans="1:90" s="469" customFormat="1" ht="12" customHeight="1" x14ac:dyDescent="0.15">
      <c r="A472" s="471" t="s">
        <v>1953</v>
      </c>
      <c r="B472" s="472">
        <v>42516</v>
      </c>
      <c r="C472" s="471" t="s">
        <v>4719</v>
      </c>
      <c r="D472" s="471" t="s">
        <v>4860</v>
      </c>
      <c r="E472" s="471" t="s">
        <v>4734</v>
      </c>
      <c r="F472" s="471" t="s">
        <v>1153</v>
      </c>
      <c r="G472" s="473">
        <v>7</v>
      </c>
      <c r="H472" s="474">
        <v>8.5</v>
      </c>
      <c r="I472" s="475" t="s">
        <v>3730</v>
      </c>
      <c r="J472" s="475"/>
      <c r="K472" s="473">
        <v>8</v>
      </c>
      <c r="L472" s="458">
        <v>10</v>
      </c>
      <c r="M472" s="476">
        <v>19000</v>
      </c>
      <c r="N472" s="471" t="s">
        <v>4720</v>
      </c>
      <c r="O472" s="477" t="s">
        <v>431</v>
      </c>
      <c r="P472" s="478" t="s">
        <v>431</v>
      </c>
      <c r="Q472" s="479" t="s">
        <v>431</v>
      </c>
      <c r="R472" s="480" t="s">
        <v>431</v>
      </c>
      <c r="S472" s="477"/>
      <c r="T472" s="481" t="s">
        <v>4911</v>
      </c>
      <c r="U472" s="482"/>
      <c r="V472" s="482"/>
      <c r="W472" s="483"/>
      <c r="X472" s="482"/>
      <c r="Y472" s="482"/>
      <c r="Z472" s="482"/>
      <c r="AA472" s="482"/>
      <c r="AB472" s="482"/>
      <c r="AC472" s="482"/>
      <c r="AD472" s="482"/>
      <c r="AE472" s="482"/>
      <c r="AF472" s="482"/>
      <c r="AG472" s="482"/>
      <c r="AH472" s="482"/>
      <c r="AI472" s="482"/>
      <c r="AJ472" s="482"/>
      <c r="AK472" s="482"/>
      <c r="AL472" s="482"/>
      <c r="AM472" s="482"/>
      <c r="AN472" s="482"/>
      <c r="AO472" s="482"/>
      <c r="AP472" s="482"/>
      <c r="AQ472" s="482"/>
      <c r="AR472" s="482"/>
      <c r="AS472" s="482"/>
      <c r="AT472" s="482"/>
      <c r="AU472" s="482"/>
      <c r="AV472" s="482"/>
      <c r="AW472" s="482"/>
      <c r="AX472" s="482"/>
      <c r="AY472" s="486" t="str">
        <f t="shared" si="27"/>
        <v/>
      </c>
      <c r="AZ472" s="487" t="str">
        <f t="shared" si="28"/>
        <v/>
      </c>
      <c r="BA472" s="482"/>
      <c r="BB472" s="482"/>
      <c r="BC472" s="482"/>
      <c r="BD472" s="482"/>
      <c r="BE472" s="482"/>
      <c r="BF472" s="482"/>
      <c r="BG472" s="482"/>
      <c r="BH472" s="482"/>
      <c r="BI472" s="482"/>
      <c r="BJ472" s="482"/>
      <c r="BK472" s="482"/>
      <c r="BL472" s="482"/>
      <c r="BM472" s="482"/>
      <c r="BN472" s="482"/>
      <c r="BO472" s="482"/>
      <c r="BP472" s="482"/>
      <c r="BQ472" s="482"/>
      <c r="BR472" s="482"/>
      <c r="BS472" s="482"/>
      <c r="BT472" s="482"/>
      <c r="BU472" s="482"/>
      <c r="BV472" s="482"/>
      <c r="BW472" s="482"/>
      <c r="BX472" s="482"/>
      <c r="BY472" s="482"/>
      <c r="BZ472" s="482"/>
      <c r="CA472" s="482"/>
      <c r="CB472" s="482"/>
      <c r="CC472" s="482"/>
      <c r="CD472" s="482"/>
      <c r="CE472" s="482"/>
      <c r="CF472" s="482"/>
      <c r="CG472" s="482"/>
      <c r="CH472" s="484"/>
    </row>
    <row r="473" spans="1:90" s="461" customFormat="1" ht="12" customHeight="1" x14ac:dyDescent="0.15">
      <c r="A473" s="522" t="s">
        <v>2166</v>
      </c>
      <c r="B473" s="467">
        <v>42516</v>
      </c>
      <c r="C473" s="468" t="s">
        <v>4886</v>
      </c>
      <c r="D473" s="468" t="s">
        <v>4884</v>
      </c>
      <c r="E473" s="468" t="s">
        <v>4885</v>
      </c>
      <c r="F473" s="468" t="s">
        <v>4828</v>
      </c>
      <c r="G473" s="466">
        <v>7</v>
      </c>
      <c r="H473" s="465">
        <v>6</v>
      </c>
      <c r="I473" s="466" t="s">
        <v>1360</v>
      </c>
      <c r="J473" s="466"/>
      <c r="K473" s="466">
        <v>5</v>
      </c>
      <c r="L473" s="506">
        <v>3</v>
      </c>
      <c r="M473" s="463">
        <v>29000</v>
      </c>
      <c r="N473" s="468" t="s">
        <v>4578</v>
      </c>
      <c r="O473" s="466">
        <v>5</v>
      </c>
      <c r="P473" s="523">
        <v>-27</v>
      </c>
      <c r="Q473" s="462">
        <v>8.1539351851851836E-4</v>
      </c>
      <c r="R473" s="463">
        <v>725</v>
      </c>
      <c r="S473" s="466"/>
      <c r="T473" s="524"/>
      <c r="W473" s="460"/>
      <c r="AY473" s="486" t="str">
        <f t="shared" si="27"/>
        <v/>
      </c>
      <c r="AZ473" s="487" t="str">
        <f t="shared" si="28"/>
        <v/>
      </c>
      <c r="CH473" s="459"/>
    </row>
    <row r="474" spans="1:90" s="461" customFormat="1" ht="12" customHeight="1" x14ac:dyDescent="0.15">
      <c r="A474" s="522" t="s">
        <v>1953</v>
      </c>
      <c r="B474" s="467">
        <v>42517</v>
      </c>
      <c r="C474" s="468" t="s">
        <v>4719</v>
      </c>
      <c r="D474" s="468" t="s">
        <v>4860</v>
      </c>
      <c r="E474" s="468" t="s">
        <v>4734</v>
      </c>
      <c r="F474" s="468" t="s">
        <v>1153</v>
      </c>
      <c r="G474" s="466">
        <v>8</v>
      </c>
      <c r="H474" s="465">
        <v>5</v>
      </c>
      <c r="I474" s="466" t="s">
        <v>3730</v>
      </c>
      <c r="J474" s="466"/>
      <c r="K474" s="466">
        <v>10</v>
      </c>
      <c r="L474" s="506">
        <v>15</v>
      </c>
      <c r="M474" s="463">
        <v>28000</v>
      </c>
      <c r="N474" s="468" t="s">
        <v>4891</v>
      </c>
      <c r="O474" s="466">
        <v>6</v>
      </c>
      <c r="P474" s="523">
        <v>-3.5</v>
      </c>
      <c r="Q474" s="462">
        <v>6.6979166666666663E-4</v>
      </c>
      <c r="R474" s="463">
        <v>560</v>
      </c>
      <c r="S474" s="466"/>
      <c r="T474" s="524"/>
      <c r="W474" s="460"/>
      <c r="AY474" s="486" t="str">
        <f t="shared" si="27"/>
        <v/>
      </c>
      <c r="AZ474" s="487" t="str">
        <f t="shared" si="28"/>
        <v/>
      </c>
      <c r="CH474" s="459"/>
    </row>
    <row r="475" spans="1:90" s="461" customFormat="1" ht="12" customHeight="1" x14ac:dyDescent="0.15">
      <c r="A475" s="522" t="s">
        <v>57</v>
      </c>
      <c r="B475" s="467">
        <v>42518</v>
      </c>
      <c r="C475" s="468" t="s">
        <v>4472</v>
      </c>
      <c r="D475" s="468" t="s">
        <v>4300</v>
      </c>
      <c r="E475" s="468" t="s">
        <v>4713</v>
      </c>
      <c r="F475" s="468" t="s">
        <v>1153</v>
      </c>
      <c r="G475" s="466">
        <v>5</v>
      </c>
      <c r="H475" s="465">
        <v>5</v>
      </c>
      <c r="I475" s="466" t="s">
        <v>3730</v>
      </c>
      <c r="J475" s="466"/>
      <c r="K475" s="466">
        <v>7</v>
      </c>
      <c r="L475" s="506">
        <v>8</v>
      </c>
      <c r="M475" s="463">
        <v>23000</v>
      </c>
      <c r="N475" s="468" t="s">
        <v>4902</v>
      </c>
      <c r="O475" s="466">
        <v>5</v>
      </c>
      <c r="P475" s="523">
        <v>-2.25</v>
      </c>
      <c r="Q475" s="462">
        <v>6.6226851851851852E-4</v>
      </c>
      <c r="R475" s="463">
        <v>690</v>
      </c>
      <c r="S475" s="466"/>
      <c r="T475" s="524"/>
      <c r="W475" s="460"/>
      <c r="AY475" s="486" t="str">
        <f t="shared" si="27"/>
        <v/>
      </c>
      <c r="AZ475" s="487" t="str">
        <f t="shared" si="28"/>
        <v/>
      </c>
      <c r="CH475" s="459"/>
    </row>
    <row r="476" spans="1:90" s="461" customFormat="1" ht="12" customHeight="1" x14ac:dyDescent="0.15">
      <c r="A476" s="522" t="s">
        <v>2170</v>
      </c>
      <c r="B476" s="467">
        <v>42518</v>
      </c>
      <c r="C476" s="468" t="s">
        <v>4903</v>
      </c>
      <c r="D476" s="468" t="s">
        <v>4904</v>
      </c>
      <c r="E476" s="468" t="s">
        <v>3967</v>
      </c>
      <c r="F476" s="468" t="s">
        <v>1153</v>
      </c>
      <c r="G476" s="466">
        <v>5</v>
      </c>
      <c r="H476" s="465">
        <v>5</v>
      </c>
      <c r="I476" s="466" t="s">
        <v>3730</v>
      </c>
      <c r="J476" s="466"/>
      <c r="K476" s="466">
        <v>7</v>
      </c>
      <c r="L476" s="506">
        <f>9/5</f>
        <v>1.8</v>
      </c>
      <c r="M476" s="463">
        <v>23000</v>
      </c>
      <c r="N476" s="468" t="s">
        <v>4902</v>
      </c>
      <c r="O476" s="466">
        <v>8</v>
      </c>
      <c r="P476" s="523">
        <v>-10.75</v>
      </c>
      <c r="Q476" s="462">
        <v>6.6226851851851852E-4</v>
      </c>
      <c r="R476" s="463">
        <v>0</v>
      </c>
      <c r="S476" s="466"/>
      <c r="T476" s="524" t="s">
        <v>3714</v>
      </c>
      <c r="W476" s="460"/>
      <c r="AY476" s="486" t="str">
        <f t="shared" si="27"/>
        <v/>
      </c>
      <c r="AZ476" s="487" t="str">
        <f t="shared" si="28"/>
        <v/>
      </c>
      <c r="CH476" s="459"/>
    </row>
    <row r="477" spans="1:90" s="461" customFormat="1" ht="12" customHeight="1" x14ac:dyDescent="0.15">
      <c r="A477" s="522" t="s">
        <v>4003</v>
      </c>
      <c r="B477" s="467">
        <v>42518</v>
      </c>
      <c r="C477" s="468" t="s">
        <v>4004</v>
      </c>
      <c r="D477" s="468" t="s">
        <v>4005</v>
      </c>
      <c r="E477" s="468" t="s">
        <v>3683</v>
      </c>
      <c r="F477" s="468" t="s">
        <v>3686</v>
      </c>
      <c r="G477" s="466">
        <v>4</v>
      </c>
      <c r="H477" s="465">
        <v>6</v>
      </c>
      <c r="I477" s="466"/>
      <c r="J477" s="466"/>
      <c r="K477" s="466">
        <v>8</v>
      </c>
      <c r="L477" s="506">
        <f>7/2</f>
        <v>3.5</v>
      </c>
      <c r="M477" s="463">
        <v>9114</v>
      </c>
      <c r="N477" s="468" t="s">
        <v>4695</v>
      </c>
      <c r="O477" s="466">
        <v>2</v>
      </c>
      <c r="P477" s="523">
        <v>-1</v>
      </c>
      <c r="Q477" s="462">
        <v>8.4826388888888885E-4</v>
      </c>
      <c r="R477" s="463">
        <v>1918</v>
      </c>
      <c r="S477" s="466" t="s">
        <v>625</v>
      </c>
      <c r="T477" s="524" t="s">
        <v>3755</v>
      </c>
      <c r="W477" s="460"/>
      <c r="AY477" s="486">
        <f t="shared" si="27"/>
        <v>1918</v>
      </c>
      <c r="AZ477" s="487" t="str">
        <f t="shared" si="28"/>
        <v/>
      </c>
      <c r="CH477" s="459"/>
    </row>
    <row r="478" spans="1:90" s="461" customFormat="1" ht="12" customHeight="1" x14ac:dyDescent="0.15">
      <c r="A478" s="522" t="s">
        <v>4062</v>
      </c>
      <c r="B478" s="467">
        <v>42518</v>
      </c>
      <c r="C478" s="468" t="s">
        <v>2744</v>
      </c>
      <c r="D478" s="468" t="s">
        <v>3298</v>
      </c>
      <c r="E478" s="468" t="s">
        <v>3699</v>
      </c>
      <c r="F478" s="468" t="s">
        <v>3686</v>
      </c>
      <c r="G478" s="466">
        <v>5</v>
      </c>
      <c r="H478" s="465">
        <v>6.5</v>
      </c>
      <c r="I478" s="466"/>
      <c r="J478" s="466"/>
      <c r="K478" s="466">
        <v>9</v>
      </c>
      <c r="L478" s="506">
        <f>9/2</f>
        <v>4.5</v>
      </c>
      <c r="M478" s="463">
        <v>5820</v>
      </c>
      <c r="N478" s="468" t="s">
        <v>3348</v>
      </c>
      <c r="O478" s="466">
        <v>3</v>
      </c>
      <c r="P478" s="523">
        <v>-5.75</v>
      </c>
      <c r="Q478" s="462">
        <v>9.0798611111111115E-4</v>
      </c>
      <c r="R478" s="463">
        <v>759</v>
      </c>
      <c r="S478" s="466" t="s">
        <v>625</v>
      </c>
      <c r="T478" s="524"/>
      <c r="W478" s="460"/>
      <c r="AY478" s="486">
        <f t="shared" si="27"/>
        <v>759</v>
      </c>
      <c r="AZ478" s="487" t="str">
        <f t="shared" si="28"/>
        <v/>
      </c>
      <c r="CH478" s="459"/>
    </row>
    <row r="479" spans="1:90" s="461" customFormat="1" ht="12" customHeight="1" x14ac:dyDescent="0.15">
      <c r="A479" s="522" t="s">
        <v>3829</v>
      </c>
      <c r="B479" s="467">
        <v>42518</v>
      </c>
      <c r="C479" s="468" t="s">
        <v>2744</v>
      </c>
      <c r="D479" s="468" t="s">
        <v>3832</v>
      </c>
      <c r="E479" s="468" t="s">
        <v>3846</v>
      </c>
      <c r="F479" s="468" t="s">
        <v>3686</v>
      </c>
      <c r="G479" s="466">
        <v>8</v>
      </c>
      <c r="H479" s="465">
        <v>8</v>
      </c>
      <c r="I479" s="466"/>
      <c r="J479" s="466"/>
      <c r="K479" s="466">
        <v>11</v>
      </c>
      <c r="L479" s="506">
        <f>7/2</f>
        <v>3.5</v>
      </c>
      <c r="M479" s="463">
        <v>7040</v>
      </c>
      <c r="N479" s="468" t="s">
        <v>3653</v>
      </c>
      <c r="O479" s="466">
        <v>2</v>
      </c>
      <c r="P479" s="523">
        <v>-0.5</v>
      </c>
      <c r="Q479" s="462">
        <v>1.1453703703703704E-3</v>
      </c>
      <c r="R479" s="463">
        <v>1482</v>
      </c>
      <c r="S479" s="466" t="s">
        <v>625</v>
      </c>
      <c r="T479" s="524" t="s">
        <v>3755</v>
      </c>
      <c r="W479" s="460"/>
      <c r="AY479" s="486">
        <f t="shared" si="27"/>
        <v>1482</v>
      </c>
      <c r="AZ479" s="487" t="str">
        <f t="shared" si="28"/>
        <v/>
      </c>
      <c r="CH479" s="459"/>
    </row>
    <row r="480" spans="1:90" s="461" customFormat="1" ht="12" customHeight="1" x14ac:dyDescent="0.15">
      <c r="A480" s="522" t="s">
        <v>3426</v>
      </c>
      <c r="B480" s="467">
        <v>42518</v>
      </c>
      <c r="C480" s="468" t="s">
        <v>3655</v>
      </c>
      <c r="D480" s="468" t="s">
        <v>3298</v>
      </c>
      <c r="E480" s="468" t="s">
        <v>3699</v>
      </c>
      <c r="F480" s="468" t="s">
        <v>3686</v>
      </c>
      <c r="G480" s="466">
        <v>8</v>
      </c>
      <c r="H480" s="465">
        <v>8</v>
      </c>
      <c r="I480" s="466"/>
      <c r="J480" s="466"/>
      <c r="K480" s="466">
        <v>11</v>
      </c>
      <c r="L480" s="506">
        <f>9/2</f>
        <v>4.5</v>
      </c>
      <c r="M480" s="463">
        <v>7040</v>
      </c>
      <c r="N480" s="468" t="s">
        <v>3653</v>
      </c>
      <c r="O480" s="466">
        <v>6</v>
      </c>
      <c r="P480" s="523">
        <v>-15.75</v>
      </c>
      <c r="Q480" s="462">
        <v>1.1453703703703704E-3</v>
      </c>
      <c r="R480" s="463">
        <v>99</v>
      </c>
      <c r="S480" s="466" t="s">
        <v>625</v>
      </c>
      <c r="T480" s="524"/>
      <c r="W480" s="460"/>
      <c r="AY480" s="486">
        <f t="shared" si="27"/>
        <v>99</v>
      </c>
      <c r="AZ480" s="487" t="str">
        <f t="shared" si="28"/>
        <v/>
      </c>
      <c r="CH480" s="459"/>
    </row>
    <row r="481" spans="1:86" s="461" customFormat="1" ht="12" customHeight="1" x14ac:dyDescent="0.15">
      <c r="A481" s="522" t="s">
        <v>3931</v>
      </c>
      <c r="B481" s="467">
        <v>42518</v>
      </c>
      <c r="C481" s="468" t="s">
        <v>3954</v>
      </c>
      <c r="D481" s="468" t="s">
        <v>3946</v>
      </c>
      <c r="E481" s="468" t="s">
        <v>4901</v>
      </c>
      <c r="F481" s="468" t="s">
        <v>3686</v>
      </c>
      <c r="G481" s="466">
        <v>8</v>
      </c>
      <c r="H481" s="465">
        <v>8</v>
      </c>
      <c r="I481" s="466"/>
      <c r="J481" s="466"/>
      <c r="K481" s="466">
        <v>11</v>
      </c>
      <c r="L481" s="506">
        <v>6</v>
      </c>
      <c r="M481" s="463">
        <v>7040</v>
      </c>
      <c r="N481" s="468" t="s">
        <v>3653</v>
      </c>
      <c r="O481" s="466">
        <v>9</v>
      </c>
      <c r="P481" s="523">
        <v>-19.25</v>
      </c>
      <c r="Q481" s="462">
        <v>1.1453703703703704E-3</v>
      </c>
      <c r="R481" s="463">
        <v>99</v>
      </c>
      <c r="S481" s="466" t="s">
        <v>625</v>
      </c>
      <c r="T481" s="524"/>
      <c r="W481" s="460"/>
      <c r="AY481" s="486">
        <f t="shared" si="27"/>
        <v>99</v>
      </c>
      <c r="AZ481" s="487" t="str">
        <f t="shared" si="28"/>
        <v/>
      </c>
      <c r="CH481" s="459"/>
    </row>
    <row r="482" spans="1:86" s="461" customFormat="1" ht="12" customHeight="1" x14ac:dyDescent="0.15">
      <c r="A482" s="522" t="s">
        <v>4063</v>
      </c>
      <c r="B482" s="467">
        <v>42518</v>
      </c>
      <c r="C482" s="468" t="s">
        <v>4064</v>
      </c>
      <c r="D482" s="468" t="s">
        <v>4014</v>
      </c>
      <c r="E482" s="468" t="s">
        <v>4764</v>
      </c>
      <c r="F482" s="468" t="s">
        <v>3686</v>
      </c>
      <c r="G482" s="466">
        <v>9</v>
      </c>
      <c r="H482" s="465">
        <v>9</v>
      </c>
      <c r="I482" s="466"/>
      <c r="J482" s="466"/>
      <c r="K482" s="466">
        <v>11</v>
      </c>
      <c r="L482" s="506">
        <v>6</v>
      </c>
      <c r="M482" s="463">
        <v>9014</v>
      </c>
      <c r="N482" s="468" t="s">
        <v>3653</v>
      </c>
      <c r="O482" s="466">
        <v>8</v>
      </c>
      <c r="P482" s="523">
        <v>-8.5</v>
      </c>
      <c r="Q482" s="462">
        <v>1.2979166666666666E-3</v>
      </c>
      <c r="R482" s="463">
        <v>99</v>
      </c>
      <c r="S482" s="466" t="s">
        <v>625</v>
      </c>
      <c r="T482" s="524"/>
      <c r="W482" s="460"/>
      <c r="AY482" s="486">
        <f t="shared" si="27"/>
        <v>99</v>
      </c>
      <c r="AZ482" s="487" t="str">
        <f t="shared" si="28"/>
        <v/>
      </c>
      <c r="CH482" s="459"/>
    </row>
    <row r="483" spans="1:86" s="461" customFormat="1" ht="12" customHeight="1" x14ac:dyDescent="0.15">
      <c r="A483" s="522" t="s">
        <v>4301</v>
      </c>
      <c r="B483" s="467">
        <v>42518</v>
      </c>
      <c r="C483" s="468" t="s">
        <v>2744</v>
      </c>
      <c r="D483" s="468" t="s">
        <v>3832</v>
      </c>
      <c r="E483" s="468" t="s">
        <v>3846</v>
      </c>
      <c r="F483" s="468" t="s">
        <v>3686</v>
      </c>
      <c r="G483" s="466">
        <v>10</v>
      </c>
      <c r="H483" s="465">
        <v>5.5</v>
      </c>
      <c r="I483" s="466"/>
      <c r="J483" s="466"/>
      <c r="K483" s="466">
        <v>12</v>
      </c>
      <c r="L483" s="506">
        <v>6</v>
      </c>
      <c r="M483" s="463">
        <v>9114</v>
      </c>
      <c r="N483" s="468" t="s">
        <v>3653</v>
      </c>
      <c r="O483" s="466">
        <v>3</v>
      </c>
      <c r="P483" s="523">
        <v>-4</v>
      </c>
      <c r="Q483" s="462">
        <v>7.6863425925925927E-4</v>
      </c>
      <c r="R483" s="463">
        <v>1188</v>
      </c>
      <c r="S483" s="466" t="s">
        <v>625</v>
      </c>
      <c r="T483" s="524"/>
      <c r="W483" s="460"/>
      <c r="AY483" s="486">
        <f t="shared" si="27"/>
        <v>1188</v>
      </c>
      <c r="AZ483" s="487" t="str">
        <f t="shared" si="28"/>
        <v/>
      </c>
      <c r="CH483" s="459"/>
    </row>
    <row r="484" spans="1:86" s="461" customFormat="1" ht="12" customHeight="1" x14ac:dyDescent="0.15">
      <c r="A484" s="522" t="s">
        <v>4583</v>
      </c>
      <c r="B484" s="467">
        <v>42518</v>
      </c>
      <c r="C484" s="468" t="s">
        <v>2744</v>
      </c>
      <c r="D484" s="468" t="s">
        <v>3832</v>
      </c>
      <c r="E484" s="468" t="s">
        <v>3846</v>
      </c>
      <c r="F484" s="468" t="s">
        <v>3686</v>
      </c>
      <c r="G484" s="466">
        <v>13</v>
      </c>
      <c r="H484" s="465">
        <v>6</v>
      </c>
      <c r="I484" s="466"/>
      <c r="J484" s="466"/>
      <c r="K484" s="466">
        <v>14</v>
      </c>
      <c r="L484" s="506">
        <v>3</v>
      </c>
      <c r="M484" s="463">
        <v>6477</v>
      </c>
      <c r="N484" s="468" t="s">
        <v>3225</v>
      </c>
      <c r="O484" s="466">
        <v>4</v>
      </c>
      <c r="P484" s="523">
        <v>-4.5</v>
      </c>
      <c r="Q484" s="462">
        <v>8.2314814814814826E-4</v>
      </c>
      <c r="R484" s="463">
        <v>389</v>
      </c>
      <c r="S484" s="466" t="s">
        <v>625</v>
      </c>
      <c r="T484" s="524" t="s">
        <v>4253</v>
      </c>
      <c r="W484" s="460"/>
      <c r="AY484" s="486">
        <f t="shared" si="27"/>
        <v>389</v>
      </c>
      <c r="AZ484" s="487" t="str">
        <f t="shared" si="28"/>
        <v/>
      </c>
      <c r="CH484" s="459"/>
    </row>
    <row r="485" spans="1:86" s="461" customFormat="1" ht="12" customHeight="1" x14ac:dyDescent="0.15">
      <c r="A485" s="522" t="s">
        <v>4518</v>
      </c>
      <c r="B485" s="467">
        <v>42518</v>
      </c>
      <c r="C485" s="468" t="s">
        <v>4519</v>
      </c>
      <c r="D485" s="468" t="s">
        <v>4520</v>
      </c>
      <c r="E485" s="468" t="s">
        <v>3848</v>
      </c>
      <c r="F485" s="468" t="s">
        <v>3686</v>
      </c>
      <c r="G485" s="466">
        <v>13</v>
      </c>
      <c r="H485" s="465">
        <v>6</v>
      </c>
      <c r="I485" s="466"/>
      <c r="J485" s="466"/>
      <c r="K485" s="466">
        <v>14</v>
      </c>
      <c r="L485" s="506">
        <v>6</v>
      </c>
      <c r="M485" s="463">
        <v>6477</v>
      </c>
      <c r="N485" s="468" t="s">
        <v>3225</v>
      </c>
      <c r="O485" s="466">
        <v>5</v>
      </c>
      <c r="P485" s="523">
        <v>-5</v>
      </c>
      <c r="Q485" s="462">
        <v>8.2314814814814826E-4</v>
      </c>
      <c r="R485" s="463">
        <v>260</v>
      </c>
      <c r="S485" s="466" t="s">
        <v>625</v>
      </c>
      <c r="T485" s="524"/>
      <c r="W485" s="460"/>
      <c r="AY485" s="486">
        <f t="shared" si="27"/>
        <v>260</v>
      </c>
      <c r="AZ485" s="487" t="str">
        <f t="shared" si="28"/>
        <v/>
      </c>
      <c r="CH485" s="459"/>
    </row>
    <row r="486" spans="1:86" s="469" customFormat="1" ht="12" customHeight="1" x14ac:dyDescent="0.15">
      <c r="A486" s="471" t="s">
        <v>4878</v>
      </c>
      <c r="B486" s="472">
        <v>42518</v>
      </c>
      <c r="C486" s="471" t="s">
        <v>4697</v>
      </c>
      <c r="D486" s="471" t="s">
        <v>4520</v>
      </c>
      <c r="E486" s="471" t="s">
        <v>4852</v>
      </c>
      <c r="F486" s="471" t="s">
        <v>3686</v>
      </c>
      <c r="G486" s="473">
        <v>13</v>
      </c>
      <c r="H486" s="474">
        <v>6</v>
      </c>
      <c r="I486" s="475"/>
      <c r="J486" s="475"/>
      <c r="K486" s="473">
        <v>14</v>
      </c>
      <c r="L486" s="485" t="s">
        <v>431</v>
      </c>
      <c r="M486" s="476">
        <v>6477</v>
      </c>
      <c r="N486" s="471" t="s">
        <v>3225</v>
      </c>
      <c r="O486" s="477" t="s">
        <v>431</v>
      </c>
      <c r="P486" s="478" t="s">
        <v>431</v>
      </c>
      <c r="Q486" s="479" t="s">
        <v>431</v>
      </c>
      <c r="R486" s="480" t="s">
        <v>431</v>
      </c>
      <c r="S486" s="477" t="s">
        <v>625</v>
      </c>
      <c r="T486" s="481" t="s">
        <v>4926</v>
      </c>
      <c r="U486" s="482"/>
      <c r="V486" s="482"/>
      <c r="W486" s="483"/>
      <c r="X486" s="482"/>
      <c r="Y486" s="482"/>
      <c r="Z486" s="482"/>
      <c r="AA486" s="482"/>
      <c r="AB486" s="482"/>
      <c r="AC486" s="482"/>
      <c r="AD486" s="482"/>
      <c r="AE486" s="482"/>
      <c r="AF486" s="482"/>
      <c r="AG486" s="482"/>
      <c r="AH486" s="482"/>
      <c r="AI486" s="482"/>
      <c r="AJ486" s="482"/>
      <c r="AK486" s="482"/>
      <c r="AL486" s="482"/>
      <c r="AM486" s="482"/>
      <c r="AN486" s="482"/>
      <c r="AO486" s="482"/>
      <c r="AP486" s="482"/>
      <c r="AQ486" s="482"/>
      <c r="AR486" s="482"/>
      <c r="AS486" s="482"/>
      <c r="AT486" s="482"/>
      <c r="AU486" s="482"/>
      <c r="AV486" s="482"/>
      <c r="AW486" s="482"/>
      <c r="AX486" s="482"/>
      <c r="AY486" s="486" t="str">
        <f t="shared" si="27"/>
        <v>--</v>
      </c>
      <c r="AZ486" s="487" t="str">
        <f t="shared" si="28"/>
        <v/>
      </c>
      <c r="BA486" s="482"/>
      <c r="BB486" s="482"/>
      <c r="BC486" s="482"/>
      <c r="BD486" s="482"/>
      <c r="BE486" s="482"/>
      <c r="BF486" s="482"/>
      <c r="BG486" s="482"/>
      <c r="BH486" s="482"/>
      <c r="BI486" s="482"/>
      <c r="BJ486" s="482"/>
      <c r="BK486" s="482"/>
      <c r="BL486" s="482"/>
      <c r="BM486" s="482"/>
      <c r="BN486" s="482"/>
      <c r="BO486" s="482"/>
      <c r="BP486" s="482"/>
      <c r="BQ486" s="482"/>
      <c r="BR486" s="482"/>
      <c r="BS486" s="482"/>
      <c r="BT486" s="482"/>
      <c r="BU486" s="482"/>
      <c r="BV486" s="482"/>
      <c r="BW486" s="482"/>
      <c r="BX486" s="482"/>
      <c r="BY486" s="482"/>
      <c r="BZ486" s="482"/>
      <c r="CA486" s="482"/>
      <c r="CB486" s="482"/>
      <c r="CC486" s="482"/>
      <c r="CD486" s="482"/>
      <c r="CE486" s="482"/>
      <c r="CF486" s="482"/>
      <c r="CG486" s="482"/>
      <c r="CH486" s="484"/>
    </row>
    <row r="487" spans="1:86" s="469" customFormat="1" ht="12" customHeight="1" x14ac:dyDescent="0.15">
      <c r="A487" s="471" t="s">
        <v>2228</v>
      </c>
      <c r="B487" s="472">
        <v>42518</v>
      </c>
      <c r="C487" s="471" t="s">
        <v>3866</v>
      </c>
      <c r="D487" s="471" t="s">
        <v>4491</v>
      </c>
      <c r="E487" s="471" t="s">
        <v>4492</v>
      </c>
      <c r="F487" s="471" t="s">
        <v>993</v>
      </c>
      <c r="G487" s="473">
        <v>1</v>
      </c>
      <c r="H487" s="474">
        <v>4.5</v>
      </c>
      <c r="I487" s="475"/>
      <c r="J487" s="475"/>
      <c r="K487" s="473">
        <v>10</v>
      </c>
      <c r="L487" s="458">
        <f>7/2</f>
        <v>3.5</v>
      </c>
      <c r="M487" s="476">
        <v>10500</v>
      </c>
      <c r="N487" s="471" t="s">
        <v>4755</v>
      </c>
      <c r="O487" s="477" t="s">
        <v>431</v>
      </c>
      <c r="P487" s="478" t="s">
        <v>431</v>
      </c>
      <c r="Q487" s="479" t="s">
        <v>431</v>
      </c>
      <c r="R487" s="480" t="s">
        <v>431</v>
      </c>
      <c r="S487" s="477"/>
      <c r="T487" s="481" t="s">
        <v>3885</v>
      </c>
      <c r="U487" s="482"/>
      <c r="V487" s="482"/>
      <c r="W487" s="483"/>
      <c r="X487" s="482"/>
      <c r="Y487" s="482"/>
      <c r="Z487" s="482"/>
      <c r="AA487" s="482"/>
      <c r="AB487" s="482"/>
      <c r="AC487" s="482"/>
      <c r="AD487" s="482"/>
      <c r="AE487" s="482"/>
      <c r="AF487" s="482"/>
      <c r="AG487" s="482"/>
      <c r="AH487" s="482"/>
      <c r="AI487" s="482"/>
      <c r="AJ487" s="482"/>
      <c r="AK487" s="482"/>
      <c r="AL487" s="482"/>
      <c r="AM487" s="482"/>
      <c r="AN487" s="482"/>
      <c r="AO487" s="482"/>
      <c r="AP487" s="482"/>
      <c r="AQ487" s="482"/>
      <c r="AR487" s="482"/>
      <c r="AS487" s="482"/>
      <c r="AT487" s="482"/>
      <c r="AU487" s="482"/>
      <c r="AV487" s="482"/>
      <c r="AW487" s="482"/>
      <c r="AX487" s="482"/>
      <c r="AY487" s="486" t="str">
        <f t="shared" si="27"/>
        <v/>
      </c>
      <c r="AZ487" s="487" t="str">
        <f t="shared" si="28"/>
        <v/>
      </c>
      <c r="BA487" s="482"/>
      <c r="BB487" s="482"/>
      <c r="BC487" s="482"/>
      <c r="BD487" s="482"/>
      <c r="BE487" s="482"/>
      <c r="BF487" s="482"/>
      <c r="BG487" s="482"/>
      <c r="BH487" s="482"/>
      <c r="BI487" s="482"/>
      <c r="BJ487" s="482"/>
      <c r="BK487" s="482"/>
      <c r="BL487" s="482"/>
      <c r="BM487" s="482"/>
      <c r="BN487" s="482"/>
      <c r="BO487" s="482"/>
      <c r="BP487" s="482"/>
      <c r="BQ487" s="482"/>
      <c r="BR487" s="482"/>
      <c r="BS487" s="482"/>
      <c r="BT487" s="482"/>
      <c r="BU487" s="482"/>
      <c r="BV487" s="482"/>
      <c r="BW487" s="482"/>
      <c r="BX487" s="482"/>
      <c r="BY487" s="482"/>
      <c r="BZ487" s="482"/>
      <c r="CA487" s="482"/>
      <c r="CB487" s="482"/>
      <c r="CC487" s="482"/>
      <c r="CD487" s="482"/>
      <c r="CE487" s="482"/>
      <c r="CF487" s="482"/>
      <c r="CG487" s="482"/>
      <c r="CH487" s="484"/>
    </row>
    <row r="488" spans="1:86" s="461" customFormat="1" ht="12" customHeight="1" x14ac:dyDescent="0.15">
      <c r="A488" s="522" t="s">
        <v>2176</v>
      </c>
      <c r="B488" s="467">
        <v>42518</v>
      </c>
      <c r="C488" s="468" t="s">
        <v>4739</v>
      </c>
      <c r="D488" s="468" t="s">
        <v>4595</v>
      </c>
      <c r="E488" s="468" t="s">
        <v>4596</v>
      </c>
      <c r="F488" s="468" t="s">
        <v>2376</v>
      </c>
      <c r="G488" s="466">
        <v>8</v>
      </c>
      <c r="H488" s="465">
        <v>6</v>
      </c>
      <c r="I488" s="466"/>
      <c r="J488" s="466"/>
      <c r="K488" s="466">
        <v>8</v>
      </c>
      <c r="L488" s="506">
        <f>5/2</f>
        <v>2.5</v>
      </c>
      <c r="M488" s="463">
        <v>10500</v>
      </c>
      <c r="N488" s="468" t="s">
        <v>4897</v>
      </c>
      <c r="O488" s="466">
        <v>2</v>
      </c>
      <c r="P488" s="523">
        <v>-3</v>
      </c>
      <c r="Q488" s="462">
        <v>8.4328703703703692E-4</v>
      </c>
      <c r="R488" s="463">
        <v>2520</v>
      </c>
      <c r="S488" s="466"/>
      <c r="T488" s="524" t="s">
        <v>3755</v>
      </c>
      <c r="W488" s="460"/>
      <c r="AY488" s="486" t="str">
        <f t="shared" si="27"/>
        <v/>
      </c>
      <c r="AZ488" s="487" t="str">
        <f t="shared" si="28"/>
        <v/>
      </c>
      <c r="CH488" s="459"/>
    </row>
    <row r="489" spans="1:86" s="461" customFormat="1" ht="12" customHeight="1" x14ac:dyDescent="0.15">
      <c r="A489" s="522" t="s">
        <v>3694</v>
      </c>
      <c r="B489" s="467">
        <v>42518</v>
      </c>
      <c r="C489" s="468" t="s">
        <v>3719</v>
      </c>
      <c r="D489" s="468" t="s">
        <v>3721</v>
      </c>
      <c r="E489" s="468" t="s">
        <v>3720</v>
      </c>
      <c r="F489" s="468" t="s">
        <v>993</v>
      </c>
      <c r="G489" s="466">
        <v>8</v>
      </c>
      <c r="H489" s="465">
        <v>7</v>
      </c>
      <c r="I489" s="466"/>
      <c r="J489" s="466"/>
      <c r="K489" s="466">
        <v>10</v>
      </c>
      <c r="L489" s="506">
        <f>9/2</f>
        <v>4.5</v>
      </c>
      <c r="M489" s="463">
        <v>24000</v>
      </c>
      <c r="N489" s="468" t="s">
        <v>4296</v>
      </c>
      <c r="O489" s="466">
        <v>9</v>
      </c>
      <c r="P489" s="523">
        <v>-9.5</v>
      </c>
      <c r="Q489" s="462">
        <v>1.0120370370370372E-3</v>
      </c>
      <c r="R489" s="463">
        <v>100</v>
      </c>
      <c r="S489" s="466"/>
      <c r="T489" s="524"/>
      <c r="W489" s="460"/>
      <c r="AY489" s="486" t="str">
        <f t="shared" si="27"/>
        <v/>
      </c>
      <c r="AZ489" s="487" t="str">
        <f t="shared" si="28"/>
        <v/>
      </c>
      <c r="CH489" s="459"/>
    </row>
    <row r="490" spans="1:86" s="461" customFormat="1" ht="12" customHeight="1" x14ac:dyDescent="0.15">
      <c r="A490" s="522" t="s">
        <v>4192</v>
      </c>
      <c r="B490" s="467">
        <v>42519</v>
      </c>
      <c r="C490" s="468" t="s">
        <v>3305</v>
      </c>
      <c r="D490" s="468" t="s">
        <v>4189</v>
      </c>
      <c r="E490" s="468" t="s">
        <v>4190</v>
      </c>
      <c r="F490" s="468" t="s">
        <v>4187</v>
      </c>
      <c r="G490" s="466">
        <v>2</v>
      </c>
      <c r="H490" s="465">
        <v>6.5</v>
      </c>
      <c r="I490" s="466"/>
      <c r="J490" s="466"/>
      <c r="K490" s="466">
        <v>12</v>
      </c>
      <c r="L490" s="464" t="s">
        <v>431</v>
      </c>
      <c r="M490" s="463">
        <v>34000</v>
      </c>
      <c r="N490" s="468" t="s">
        <v>4905</v>
      </c>
      <c r="O490" s="466">
        <v>3</v>
      </c>
      <c r="P490" s="523">
        <v>-6</v>
      </c>
      <c r="Q490" s="462">
        <v>9.3055555555555545E-4</v>
      </c>
      <c r="R490" s="463">
        <v>4410</v>
      </c>
      <c r="S490" s="466"/>
      <c r="T490" s="524"/>
      <c r="W490" s="460"/>
      <c r="AY490" s="486" t="str">
        <f t="shared" si="27"/>
        <v/>
      </c>
      <c r="AZ490" s="487" t="str">
        <f t="shared" si="28"/>
        <v/>
      </c>
      <c r="CH490" s="459"/>
    </row>
    <row r="491" spans="1:86" s="461" customFormat="1" ht="12" customHeight="1" x14ac:dyDescent="0.15">
      <c r="A491" s="522" t="s">
        <v>4758</v>
      </c>
      <c r="B491" s="467">
        <v>42519</v>
      </c>
      <c r="C491" s="468" t="s">
        <v>2723</v>
      </c>
      <c r="D491" s="468" t="s">
        <v>4176</v>
      </c>
      <c r="E491" s="468" t="s">
        <v>3695</v>
      </c>
      <c r="F491" s="468" t="s">
        <v>3685</v>
      </c>
      <c r="G491" s="466">
        <v>7</v>
      </c>
      <c r="H491" s="465">
        <v>5</v>
      </c>
      <c r="I491" s="466"/>
      <c r="J491" s="466" t="s">
        <v>960</v>
      </c>
      <c r="K491" s="466">
        <v>10</v>
      </c>
      <c r="L491" s="506">
        <f>7/2</f>
        <v>3.5</v>
      </c>
      <c r="M491" s="463">
        <v>3158</v>
      </c>
      <c r="N491" s="468" t="s">
        <v>3348</v>
      </c>
      <c r="O491" s="466">
        <v>5</v>
      </c>
      <c r="P491" s="523">
        <v>-7.75</v>
      </c>
      <c r="Q491" s="462">
        <v>7.0486111111111107E-4</v>
      </c>
      <c r="R491" s="463">
        <v>65</v>
      </c>
      <c r="S491" s="466" t="s">
        <v>625</v>
      </c>
      <c r="T491" s="524"/>
      <c r="W491" s="460"/>
      <c r="AY491" s="486">
        <f t="shared" si="27"/>
        <v>65</v>
      </c>
      <c r="AZ491" s="487" t="str">
        <f t="shared" si="28"/>
        <v/>
      </c>
      <c r="CH491" s="459"/>
    </row>
    <row r="492" spans="1:86" s="461" customFormat="1" ht="12" customHeight="1" x14ac:dyDescent="0.15">
      <c r="A492" s="522" t="s">
        <v>1943</v>
      </c>
      <c r="B492" s="467">
        <v>42519</v>
      </c>
      <c r="C492" s="468" t="s">
        <v>3736</v>
      </c>
      <c r="D492" s="468" t="s">
        <v>3737</v>
      </c>
      <c r="E492" s="468" t="s">
        <v>3968</v>
      </c>
      <c r="F492" s="468" t="s">
        <v>575</v>
      </c>
      <c r="G492" s="466">
        <v>4</v>
      </c>
      <c r="H492" s="465">
        <v>8</v>
      </c>
      <c r="I492" s="466" t="s">
        <v>3730</v>
      </c>
      <c r="J492" s="466"/>
      <c r="K492" s="466">
        <v>9</v>
      </c>
      <c r="L492" s="506">
        <v>6</v>
      </c>
      <c r="M492" s="463">
        <v>39000</v>
      </c>
      <c r="N492" s="468" t="s">
        <v>4820</v>
      </c>
      <c r="O492" s="466">
        <v>5</v>
      </c>
      <c r="P492" s="523">
        <v>-4.5</v>
      </c>
      <c r="Q492" s="462">
        <v>1.1170138888888887E-3</v>
      </c>
      <c r="R492" s="463">
        <v>1170</v>
      </c>
      <c r="S492" s="466"/>
      <c r="T492" s="524" t="s">
        <v>4814</v>
      </c>
      <c r="W492" s="460"/>
      <c r="AY492" s="486" t="str">
        <f t="shared" si="27"/>
        <v/>
      </c>
      <c r="AZ492" s="487" t="str">
        <f t="shared" si="28"/>
        <v/>
      </c>
      <c r="CH492" s="459"/>
    </row>
    <row r="493" spans="1:86" s="469" customFormat="1" ht="12" customHeight="1" x14ac:dyDescent="0.15">
      <c r="A493" s="471" t="s">
        <v>2218</v>
      </c>
      <c r="B493" s="472">
        <v>42519</v>
      </c>
      <c r="C493" s="471" t="s">
        <v>4663</v>
      </c>
      <c r="D493" s="471" t="s">
        <v>4664</v>
      </c>
      <c r="E493" s="471" t="s">
        <v>3878</v>
      </c>
      <c r="F493" s="471" t="s">
        <v>1153</v>
      </c>
      <c r="G493" s="473">
        <v>4</v>
      </c>
      <c r="H493" s="474">
        <v>5</v>
      </c>
      <c r="I493" s="475" t="s">
        <v>3730</v>
      </c>
      <c r="J493" s="475"/>
      <c r="K493" s="473">
        <v>10</v>
      </c>
      <c r="L493" s="458">
        <v>15</v>
      </c>
      <c r="M493" s="476">
        <v>22000</v>
      </c>
      <c r="N493" s="471" t="s">
        <v>4752</v>
      </c>
      <c r="O493" s="477" t="s">
        <v>431</v>
      </c>
      <c r="P493" s="478" t="s">
        <v>431</v>
      </c>
      <c r="Q493" s="479" t="s">
        <v>431</v>
      </c>
      <c r="R493" s="480" t="s">
        <v>431</v>
      </c>
      <c r="S493" s="477"/>
      <c r="T493" s="481" t="s">
        <v>4936</v>
      </c>
      <c r="U493" s="482"/>
      <c r="V493" s="482"/>
      <c r="W493" s="483"/>
      <c r="X493" s="482"/>
      <c r="Y493" s="482"/>
      <c r="Z493" s="482"/>
      <c r="AA493" s="482"/>
      <c r="AB493" s="482"/>
      <c r="AC493" s="482"/>
      <c r="AD493" s="482"/>
      <c r="AE493" s="482"/>
      <c r="AF493" s="482"/>
      <c r="AG493" s="482"/>
      <c r="AH493" s="482"/>
      <c r="AI493" s="482"/>
      <c r="AJ493" s="482"/>
      <c r="AK493" s="482"/>
      <c r="AL493" s="482"/>
      <c r="AM493" s="482"/>
      <c r="AN493" s="482"/>
      <c r="AO493" s="482"/>
      <c r="AP493" s="482"/>
      <c r="AQ493" s="482"/>
      <c r="AR493" s="482"/>
      <c r="AS493" s="482"/>
      <c r="AT493" s="482"/>
      <c r="AU493" s="482"/>
      <c r="AV493" s="482"/>
      <c r="AW493" s="482"/>
      <c r="AX493" s="482"/>
      <c r="AY493" s="486" t="str">
        <f t="shared" si="27"/>
        <v/>
      </c>
      <c r="AZ493" s="487" t="str">
        <f t="shared" si="28"/>
        <v/>
      </c>
      <c r="BA493" s="482"/>
      <c r="BB493" s="482"/>
      <c r="BC493" s="482"/>
      <c r="BD493" s="482"/>
      <c r="BE493" s="482"/>
      <c r="BF493" s="482"/>
      <c r="BG493" s="482"/>
      <c r="BH493" s="482"/>
      <c r="BI493" s="482"/>
      <c r="BJ493" s="482"/>
      <c r="BK493" s="482"/>
      <c r="BL493" s="482"/>
      <c r="BM493" s="482"/>
      <c r="BN493" s="482"/>
      <c r="BO493" s="482"/>
      <c r="BP493" s="482"/>
      <c r="BQ493" s="482"/>
      <c r="BR493" s="482"/>
      <c r="BS493" s="482"/>
      <c r="BT493" s="482"/>
      <c r="BU493" s="482"/>
      <c r="BV493" s="482"/>
      <c r="BW493" s="482"/>
      <c r="BX493" s="482"/>
      <c r="BY493" s="482"/>
      <c r="BZ493" s="482"/>
      <c r="CA493" s="482"/>
      <c r="CB493" s="482"/>
      <c r="CC493" s="482"/>
      <c r="CD493" s="482"/>
      <c r="CE493" s="482"/>
      <c r="CF493" s="482"/>
      <c r="CG493" s="482"/>
      <c r="CH493" s="484"/>
    </row>
    <row r="494" spans="1:86" s="461" customFormat="1" ht="12" customHeight="1" x14ac:dyDescent="0.15">
      <c r="A494" s="522" t="s">
        <v>4374</v>
      </c>
      <c r="B494" s="467">
        <v>42519</v>
      </c>
      <c r="C494" s="468" t="s">
        <v>4375</v>
      </c>
      <c r="D494" s="468" t="s">
        <v>4376</v>
      </c>
      <c r="E494" s="468" t="s">
        <v>1310</v>
      </c>
      <c r="F494" s="468" t="s">
        <v>4738</v>
      </c>
      <c r="G494" s="466">
        <v>8</v>
      </c>
      <c r="H494" s="465">
        <v>7</v>
      </c>
      <c r="I494" s="466"/>
      <c r="J494" s="466"/>
      <c r="K494" s="466">
        <v>15</v>
      </c>
      <c r="L494" s="506">
        <v>3</v>
      </c>
      <c r="M494" s="463">
        <v>2687</v>
      </c>
      <c r="N494" s="468" t="s">
        <v>4296</v>
      </c>
      <c r="O494" s="466">
        <v>5</v>
      </c>
      <c r="P494" s="523">
        <v>-6.25</v>
      </c>
      <c r="Q494" s="462">
        <v>1.0641203703703704E-3</v>
      </c>
      <c r="R494" s="463">
        <v>30</v>
      </c>
      <c r="S494" s="466" t="s">
        <v>625</v>
      </c>
      <c r="T494" s="524"/>
      <c r="W494" s="460"/>
      <c r="AY494" s="486">
        <f t="shared" si="27"/>
        <v>30</v>
      </c>
      <c r="AZ494" s="487" t="str">
        <f t="shared" si="28"/>
        <v/>
      </c>
      <c r="CH494" s="459"/>
    </row>
    <row r="495" spans="1:86" s="461" customFormat="1" ht="12" customHeight="1" x14ac:dyDescent="0.15">
      <c r="A495" s="522" t="s">
        <v>4654</v>
      </c>
      <c r="B495" s="467">
        <v>42519</v>
      </c>
      <c r="C495" s="468" t="s">
        <v>2605</v>
      </c>
      <c r="D495" s="468" t="s">
        <v>4177</v>
      </c>
      <c r="E495" s="468" t="s">
        <v>3956</v>
      </c>
      <c r="F495" s="468" t="s">
        <v>3685</v>
      </c>
      <c r="G495" s="466">
        <v>9</v>
      </c>
      <c r="H495" s="465">
        <v>5.5</v>
      </c>
      <c r="I495" s="466"/>
      <c r="J495" s="466" t="s">
        <v>960</v>
      </c>
      <c r="K495" s="466">
        <v>14</v>
      </c>
      <c r="L495" s="506">
        <v>5</v>
      </c>
      <c r="M495" s="463">
        <v>3158</v>
      </c>
      <c r="N495" s="468" t="s">
        <v>3348</v>
      </c>
      <c r="O495" s="466">
        <v>13</v>
      </c>
      <c r="P495" s="523">
        <v>-11.5</v>
      </c>
      <c r="Q495" s="462">
        <v>7.9710648148148143E-4</v>
      </c>
      <c r="R495" s="463">
        <v>65</v>
      </c>
      <c r="S495" s="466" t="s">
        <v>625</v>
      </c>
      <c r="T495" s="524"/>
      <c r="W495" s="460"/>
      <c r="AY495" s="486">
        <f t="shared" si="27"/>
        <v>65</v>
      </c>
      <c r="AZ495" s="487" t="str">
        <f t="shared" si="28"/>
        <v/>
      </c>
      <c r="CH495" s="459"/>
    </row>
    <row r="496" spans="1:86" s="469" customFormat="1" ht="12" customHeight="1" x14ac:dyDescent="0.15">
      <c r="A496" s="471" t="s">
        <v>4571</v>
      </c>
      <c r="B496" s="472">
        <v>42519</v>
      </c>
      <c r="C496" s="471" t="s">
        <v>3952</v>
      </c>
      <c r="D496" s="471" t="s">
        <v>3948</v>
      </c>
      <c r="E496" s="471" t="s">
        <v>1310</v>
      </c>
      <c r="F496" s="471" t="s">
        <v>4738</v>
      </c>
      <c r="G496" s="473">
        <v>9</v>
      </c>
      <c r="H496" s="474">
        <v>6.5</v>
      </c>
      <c r="I496" s="475"/>
      <c r="J496" s="475"/>
      <c r="K496" s="473">
        <v>14</v>
      </c>
      <c r="L496" s="458">
        <v>10</v>
      </c>
      <c r="M496" s="476">
        <v>1612</v>
      </c>
      <c r="N496" s="471" t="s">
        <v>3778</v>
      </c>
      <c r="O496" s="477" t="s">
        <v>431</v>
      </c>
      <c r="P496" s="478" t="s">
        <v>431</v>
      </c>
      <c r="Q496" s="479" t="s">
        <v>431</v>
      </c>
      <c r="R496" s="480" t="s">
        <v>431</v>
      </c>
      <c r="S496" s="477" t="s">
        <v>625</v>
      </c>
      <c r="T496" s="481" t="s">
        <v>3885</v>
      </c>
      <c r="U496" s="482"/>
      <c r="V496" s="482"/>
      <c r="W496" s="483"/>
      <c r="X496" s="482"/>
      <c r="Y496" s="482"/>
      <c r="Z496" s="482"/>
      <c r="AA496" s="482"/>
      <c r="AB496" s="482"/>
      <c r="AC496" s="482"/>
      <c r="AD496" s="482"/>
      <c r="AE496" s="482"/>
      <c r="AF496" s="482"/>
      <c r="AG496" s="482"/>
      <c r="AH496" s="482"/>
      <c r="AI496" s="482"/>
      <c r="AJ496" s="482"/>
      <c r="AK496" s="482"/>
      <c r="AL496" s="482"/>
      <c r="AM496" s="482"/>
      <c r="AN496" s="482"/>
      <c r="AO496" s="482"/>
      <c r="AP496" s="482"/>
      <c r="AQ496" s="482"/>
      <c r="AR496" s="482"/>
      <c r="AS496" s="482"/>
      <c r="AT496" s="482"/>
      <c r="AU496" s="482"/>
      <c r="AV496" s="482"/>
      <c r="AW496" s="482"/>
      <c r="AX496" s="482"/>
      <c r="AY496" s="486" t="str">
        <f t="shared" si="27"/>
        <v>--</v>
      </c>
      <c r="AZ496" s="487" t="str">
        <f t="shared" si="28"/>
        <v/>
      </c>
      <c r="BA496" s="482"/>
      <c r="BB496" s="482"/>
      <c r="BC496" s="482"/>
      <c r="BD496" s="482"/>
      <c r="BE496" s="482"/>
      <c r="BF496" s="482"/>
      <c r="BG496" s="482"/>
      <c r="BH496" s="482"/>
      <c r="BI496" s="482"/>
      <c r="BJ496" s="482"/>
      <c r="BK496" s="482"/>
      <c r="BL496" s="482"/>
      <c r="BM496" s="482"/>
      <c r="BN496" s="482"/>
      <c r="BO496" s="482"/>
      <c r="BP496" s="482"/>
      <c r="BQ496" s="482"/>
      <c r="BR496" s="482"/>
      <c r="BS496" s="482"/>
      <c r="BT496" s="482"/>
      <c r="BU496" s="482"/>
      <c r="BV496" s="482"/>
      <c r="BW496" s="482"/>
      <c r="BX496" s="482"/>
      <c r="BY496" s="482"/>
      <c r="BZ496" s="482"/>
      <c r="CA496" s="482"/>
      <c r="CB496" s="482"/>
      <c r="CC496" s="482"/>
      <c r="CD496" s="482"/>
      <c r="CE496" s="482"/>
      <c r="CF496" s="482"/>
      <c r="CG496" s="482"/>
      <c r="CH496" s="484"/>
    </row>
    <row r="497" spans="1:86" s="461" customFormat="1" ht="12" customHeight="1" x14ac:dyDescent="0.15">
      <c r="A497" s="522" t="s">
        <v>4621</v>
      </c>
      <c r="B497" s="467">
        <v>42519</v>
      </c>
      <c r="C497" s="468" t="s">
        <v>4908</v>
      </c>
      <c r="D497" s="468" t="s">
        <v>3892</v>
      </c>
      <c r="E497" s="468" t="s">
        <v>4909</v>
      </c>
      <c r="F497" s="468" t="s">
        <v>540</v>
      </c>
      <c r="G497" s="466">
        <v>7</v>
      </c>
      <c r="H497" s="465">
        <v>5</v>
      </c>
      <c r="I497" s="466" t="s">
        <v>3730</v>
      </c>
      <c r="J497" s="466"/>
      <c r="K497" s="466">
        <v>10</v>
      </c>
      <c r="L497" s="506">
        <v>10</v>
      </c>
      <c r="M497" s="463">
        <v>18000</v>
      </c>
      <c r="N497" s="468" t="s">
        <v>4910</v>
      </c>
      <c r="O497" s="466">
        <v>2</v>
      </c>
      <c r="P497" s="555" t="s">
        <v>1202</v>
      </c>
      <c r="Q497" s="462">
        <v>6.5717592592592596E-4</v>
      </c>
      <c r="R497" s="463">
        <v>3200</v>
      </c>
      <c r="S497" s="466"/>
      <c r="T497" s="524" t="s">
        <v>4942</v>
      </c>
      <c r="W497" s="460"/>
      <c r="AY497" s="486" t="str">
        <f t="shared" si="27"/>
        <v/>
      </c>
      <c r="AZ497" s="487" t="str">
        <f t="shared" si="28"/>
        <v/>
      </c>
      <c r="CH497" s="459"/>
    </row>
    <row r="498" spans="1:86" s="461" customFormat="1" ht="12" customHeight="1" x14ac:dyDescent="0.15">
      <c r="A498" s="522" t="s">
        <v>1381</v>
      </c>
      <c r="B498" s="467">
        <v>42519</v>
      </c>
      <c r="C498" s="468" t="s">
        <v>4512</v>
      </c>
      <c r="D498" s="468" t="s">
        <v>4511</v>
      </c>
      <c r="E498" s="468" t="s">
        <v>4898</v>
      </c>
      <c r="F498" s="468" t="s">
        <v>4828</v>
      </c>
      <c r="G498" s="466">
        <v>8</v>
      </c>
      <c r="H498" s="465">
        <v>5.5</v>
      </c>
      <c r="I498" s="466" t="s">
        <v>1360</v>
      </c>
      <c r="J498" s="466"/>
      <c r="K498" s="466">
        <v>6</v>
      </c>
      <c r="L498" s="506">
        <v>10</v>
      </c>
      <c r="M498" s="463">
        <v>10000</v>
      </c>
      <c r="N498" s="468" t="s">
        <v>197</v>
      </c>
      <c r="O498" s="466">
        <v>5</v>
      </c>
      <c r="P498" s="523">
        <v>-4.25</v>
      </c>
      <c r="Q498" s="462">
        <v>7.4629629629629623E-4</v>
      </c>
      <c r="R498" s="463">
        <v>250</v>
      </c>
      <c r="S498" s="466"/>
      <c r="T498" s="524"/>
      <c r="W498" s="460"/>
      <c r="AY498" s="486" t="str">
        <f t="shared" si="27"/>
        <v/>
      </c>
      <c r="AZ498" s="487" t="str">
        <f t="shared" si="28"/>
        <v/>
      </c>
      <c r="CH498" s="459"/>
    </row>
    <row r="499" spans="1:86" s="469" customFormat="1" ht="12" customHeight="1" x14ac:dyDescent="0.15">
      <c r="A499" s="471" t="s">
        <v>1710</v>
      </c>
      <c r="B499" s="472">
        <v>42520</v>
      </c>
      <c r="C499" s="471" t="s">
        <v>4789</v>
      </c>
      <c r="D499" s="471" t="s">
        <v>4790</v>
      </c>
      <c r="E499" s="471" t="s">
        <v>3930</v>
      </c>
      <c r="F499" s="471" t="s">
        <v>4171</v>
      </c>
      <c r="G499" s="473">
        <v>5</v>
      </c>
      <c r="H499" s="474">
        <v>8.3000000000000007</v>
      </c>
      <c r="I499" s="475"/>
      <c r="J499" s="475"/>
      <c r="K499" s="473">
        <v>8</v>
      </c>
      <c r="L499" s="458">
        <f>9/2</f>
        <v>4.5</v>
      </c>
      <c r="M499" s="476">
        <v>20000</v>
      </c>
      <c r="N499" s="471" t="s">
        <v>4924</v>
      </c>
      <c r="O499" s="477" t="s">
        <v>431</v>
      </c>
      <c r="P499" s="478" t="s">
        <v>431</v>
      </c>
      <c r="Q499" s="479" t="s">
        <v>431</v>
      </c>
      <c r="R499" s="480" t="s">
        <v>431</v>
      </c>
      <c r="S499" s="477"/>
      <c r="T499" s="481"/>
      <c r="U499" s="482"/>
      <c r="V499" s="482"/>
      <c r="W499" s="483"/>
      <c r="X499" s="482"/>
      <c r="Y499" s="482"/>
      <c r="Z499" s="482"/>
      <c r="AA499" s="482"/>
      <c r="AB499" s="482"/>
      <c r="AC499" s="482"/>
      <c r="AD499" s="482"/>
      <c r="AE499" s="482"/>
      <c r="AF499" s="482"/>
      <c r="AG499" s="482"/>
      <c r="AH499" s="482"/>
      <c r="AI499" s="482"/>
      <c r="AJ499" s="482"/>
      <c r="AK499" s="482"/>
      <c r="AL499" s="482"/>
      <c r="AM499" s="482"/>
      <c r="AN499" s="482"/>
      <c r="AO499" s="482"/>
      <c r="AP499" s="482"/>
      <c r="AQ499" s="482"/>
      <c r="AR499" s="482"/>
      <c r="AS499" s="482"/>
      <c r="AT499" s="482"/>
      <c r="AU499" s="482"/>
      <c r="AV499" s="482"/>
      <c r="AW499" s="482"/>
      <c r="AX499" s="482"/>
      <c r="AY499" s="486" t="str">
        <f t="shared" si="27"/>
        <v/>
      </c>
      <c r="AZ499" s="487" t="str">
        <f t="shared" si="28"/>
        <v/>
      </c>
      <c r="BA499" s="482"/>
      <c r="BB499" s="482"/>
      <c r="BC499" s="482"/>
      <c r="BD499" s="482"/>
      <c r="BE499" s="482"/>
      <c r="BF499" s="482"/>
      <c r="BG499" s="482"/>
      <c r="BH499" s="482"/>
      <c r="BI499" s="482"/>
      <c r="BJ499" s="482"/>
      <c r="BK499" s="482"/>
      <c r="BL499" s="482"/>
      <c r="BM499" s="482"/>
      <c r="BN499" s="482"/>
      <c r="BO499" s="482"/>
      <c r="BP499" s="482"/>
      <c r="BQ499" s="482"/>
      <c r="BR499" s="482"/>
      <c r="BS499" s="482"/>
      <c r="BT499" s="482"/>
      <c r="BU499" s="482"/>
      <c r="BV499" s="482"/>
      <c r="BW499" s="482"/>
      <c r="BX499" s="482"/>
      <c r="BY499" s="482"/>
      <c r="BZ499" s="482"/>
      <c r="CA499" s="482"/>
      <c r="CB499" s="482"/>
      <c r="CC499" s="482"/>
      <c r="CD499" s="482"/>
      <c r="CE499" s="482"/>
      <c r="CF499" s="482"/>
      <c r="CG499" s="482"/>
      <c r="CH499" s="484"/>
    </row>
    <row r="500" spans="1:86" s="469" customFormat="1" ht="12" customHeight="1" x14ac:dyDescent="0.15">
      <c r="A500" s="471" t="s">
        <v>1666</v>
      </c>
      <c r="B500" s="472">
        <v>42520</v>
      </c>
      <c r="C500" s="471" t="s">
        <v>4846</v>
      </c>
      <c r="D500" s="471" t="s">
        <v>4826</v>
      </c>
      <c r="E500" s="471" t="s">
        <v>1310</v>
      </c>
      <c r="F500" s="471" t="s">
        <v>433</v>
      </c>
      <c r="G500" s="473">
        <v>3</v>
      </c>
      <c r="H500" s="474">
        <v>8</v>
      </c>
      <c r="I500" s="475"/>
      <c r="J500" s="475"/>
      <c r="K500" s="473">
        <v>7</v>
      </c>
      <c r="L500" s="485" t="s">
        <v>431</v>
      </c>
      <c r="M500" s="476">
        <v>200000</v>
      </c>
      <c r="N500" s="471" t="s">
        <v>4888</v>
      </c>
      <c r="O500" s="477" t="s">
        <v>431</v>
      </c>
      <c r="P500" s="478" t="s">
        <v>431</v>
      </c>
      <c r="Q500" s="479" t="s">
        <v>431</v>
      </c>
      <c r="R500" s="480" t="s">
        <v>431</v>
      </c>
      <c r="S500" s="477"/>
      <c r="T500" s="481" t="s">
        <v>3797</v>
      </c>
      <c r="U500" s="482"/>
      <c r="V500" s="482"/>
      <c r="W500" s="483"/>
      <c r="X500" s="482"/>
      <c r="Y500" s="482"/>
      <c r="Z500" s="482"/>
      <c r="AA500" s="482"/>
      <c r="AB500" s="482"/>
      <c r="AC500" s="482"/>
      <c r="AD500" s="482"/>
      <c r="AE500" s="482"/>
      <c r="AF500" s="482"/>
      <c r="AG500" s="482"/>
      <c r="AH500" s="482"/>
      <c r="AI500" s="482"/>
      <c r="AJ500" s="482"/>
      <c r="AK500" s="482"/>
      <c r="AL500" s="482"/>
      <c r="AM500" s="482"/>
      <c r="AN500" s="482"/>
      <c r="AO500" s="482"/>
      <c r="AP500" s="482"/>
      <c r="AQ500" s="482"/>
      <c r="AR500" s="482"/>
      <c r="AS500" s="482"/>
      <c r="AT500" s="482"/>
      <c r="AU500" s="482"/>
      <c r="AV500" s="482"/>
      <c r="AW500" s="482"/>
      <c r="AX500" s="482"/>
      <c r="AY500" s="486" t="str">
        <f t="shared" si="27"/>
        <v/>
      </c>
      <c r="AZ500" s="487" t="str">
        <f t="shared" si="28"/>
        <v/>
      </c>
      <c r="BA500" s="482"/>
      <c r="BB500" s="482"/>
      <c r="BC500" s="482"/>
      <c r="BD500" s="482"/>
      <c r="BE500" s="482"/>
      <c r="BF500" s="482"/>
      <c r="BG500" s="482"/>
      <c r="BH500" s="482"/>
      <c r="BI500" s="482"/>
      <c r="BJ500" s="482"/>
      <c r="BK500" s="482"/>
      <c r="BL500" s="482"/>
      <c r="BM500" s="482"/>
      <c r="BN500" s="482"/>
      <c r="BO500" s="482"/>
      <c r="BP500" s="482"/>
      <c r="BQ500" s="482"/>
      <c r="BR500" s="482"/>
      <c r="BS500" s="482"/>
      <c r="BT500" s="482"/>
      <c r="BU500" s="482"/>
      <c r="BV500" s="482"/>
      <c r="BW500" s="482"/>
      <c r="BX500" s="482"/>
      <c r="BY500" s="482"/>
      <c r="BZ500" s="482"/>
      <c r="CA500" s="482"/>
      <c r="CB500" s="482"/>
      <c r="CC500" s="482"/>
      <c r="CD500" s="482"/>
      <c r="CE500" s="482"/>
      <c r="CF500" s="482"/>
      <c r="CG500" s="482"/>
      <c r="CH500" s="484"/>
    </row>
    <row r="501" spans="1:86" s="469" customFormat="1" ht="12" customHeight="1" x14ac:dyDescent="0.15">
      <c r="A501" s="471" t="s">
        <v>2278</v>
      </c>
      <c r="B501" s="472">
        <v>42520</v>
      </c>
      <c r="C501" s="471" t="s">
        <v>4747</v>
      </c>
      <c r="D501" s="471" t="s">
        <v>4742</v>
      </c>
      <c r="E501" s="471" t="s">
        <v>3298</v>
      </c>
      <c r="F501" s="471" t="s">
        <v>4828</v>
      </c>
      <c r="G501" s="473">
        <v>6</v>
      </c>
      <c r="H501" s="474">
        <v>6.5</v>
      </c>
      <c r="I501" s="475" t="s">
        <v>1360</v>
      </c>
      <c r="J501" s="475"/>
      <c r="K501" s="473">
        <v>6</v>
      </c>
      <c r="L501" s="458">
        <v>5</v>
      </c>
      <c r="M501" s="476">
        <v>20000</v>
      </c>
      <c r="N501" s="471" t="s">
        <v>4636</v>
      </c>
      <c r="O501" s="477" t="s">
        <v>431</v>
      </c>
      <c r="P501" s="478" t="s">
        <v>431</v>
      </c>
      <c r="Q501" s="479" t="s">
        <v>431</v>
      </c>
      <c r="R501" s="480" t="s">
        <v>431</v>
      </c>
      <c r="S501" s="477"/>
      <c r="T501" s="481" t="s">
        <v>4987</v>
      </c>
      <c r="U501" s="482"/>
      <c r="V501" s="482"/>
      <c r="W501" s="483"/>
      <c r="X501" s="482"/>
      <c r="Y501" s="482"/>
      <c r="Z501" s="482"/>
      <c r="AA501" s="482"/>
      <c r="AB501" s="482"/>
      <c r="AC501" s="482"/>
      <c r="AD501" s="482"/>
      <c r="AE501" s="482"/>
      <c r="AF501" s="482"/>
      <c r="AG501" s="482"/>
      <c r="AH501" s="482"/>
      <c r="AI501" s="482"/>
      <c r="AJ501" s="482"/>
      <c r="AK501" s="482"/>
      <c r="AL501" s="482"/>
      <c r="AM501" s="482"/>
      <c r="AN501" s="482"/>
      <c r="AO501" s="482"/>
      <c r="AP501" s="482"/>
      <c r="AQ501" s="482"/>
      <c r="AR501" s="482"/>
      <c r="AS501" s="482"/>
      <c r="AT501" s="482"/>
      <c r="AU501" s="482"/>
      <c r="AV501" s="482"/>
      <c r="AW501" s="482"/>
      <c r="AX501" s="482"/>
      <c r="AY501" s="486" t="str">
        <f t="shared" si="27"/>
        <v/>
      </c>
      <c r="AZ501" s="487" t="str">
        <f t="shared" si="28"/>
        <v/>
      </c>
      <c r="BA501" s="482"/>
      <c r="BB501" s="482"/>
      <c r="BC501" s="482"/>
      <c r="BD501" s="482"/>
      <c r="BE501" s="482"/>
      <c r="BF501" s="482"/>
      <c r="BG501" s="482"/>
      <c r="BH501" s="482"/>
      <c r="BI501" s="482"/>
      <c r="BJ501" s="482"/>
      <c r="BK501" s="482"/>
      <c r="BL501" s="482"/>
      <c r="BM501" s="482"/>
      <c r="BN501" s="482"/>
      <c r="BO501" s="482"/>
      <c r="BP501" s="482"/>
      <c r="BQ501" s="482"/>
      <c r="BR501" s="482"/>
      <c r="BS501" s="482"/>
      <c r="BT501" s="482"/>
      <c r="BU501" s="482"/>
      <c r="BV501" s="482"/>
      <c r="BW501" s="482"/>
      <c r="BX501" s="482"/>
      <c r="BY501" s="482"/>
      <c r="BZ501" s="482"/>
      <c r="CA501" s="482"/>
      <c r="CB501" s="482"/>
      <c r="CC501" s="482"/>
      <c r="CD501" s="482"/>
      <c r="CE501" s="482"/>
      <c r="CF501" s="482"/>
      <c r="CG501" s="482"/>
      <c r="CH501" s="484"/>
    </row>
    <row r="502" spans="1:86" s="461" customFormat="1" ht="12" customHeight="1" x14ac:dyDescent="0.15">
      <c r="A502" s="522" t="s">
        <v>36</v>
      </c>
      <c r="B502" s="467">
        <v>42522</v>
      </c>
      <c r="C502" s="468" t="s">
        <v>4563</v>
      </c>
      <c r="D502" s="468" t="s">
        <v>4564</v>
      </c>
      <c r="E502" s="468" t="s">
        <v>4899</v>
      </c>
      <c r="F502" s="468" t="s">
        <v>775</v>
      </c>
      <c r="G502" s="466">
        <v>6</v>
      </c>
      <c r="H502" s="465">
        <v>7</v>
      </c>
      <c r="I502" s="466"/>
      <c r="J502" s="466"/>
      <c r="K502" s="466">
        <v>7</v>
      </c>
      <c r="L502" s="506">
        <v>3</v>
      </c>
      <c r="M502" s="463">
        <v>20000</v>
      </c>
      <c r="N502" s="468" t="s">
        <v>4296</v>
      </c>
      <c r="O502" s="466">
        <v>5</v>
      </c>
      <c r="P502" s="523">
        <v>-6.25</v>
      </c>
      <c r="Q502" s="462">
        <v>9.7754629629629624E-4</v>
      </c>
      <c r="R502" s="463">
        <v>600</v>
      </c>
      <c r="S502" s="466"/>
      <c r="T502" s="524"/>
      <c r="W502" s="460"/>
      <c r="AY502" s="486" t="str">
        <f t="shared" si="27"/>
        <v/>
      </c>
      <c r="AZ502" s="487" t="str">
        <f t="shared" si="28"/>
        <v/>
      </c>
      <c r="CH502" s="459"/>
    </row>
    <row r="503" spans="1:86" s="461" customFormat="1" ht="12" customHeight="1" x14ac:dyDescent="0.15">
      <c r="A503" s="522" t="s">
        <v>3263</v>
      </c>
      <c r="B503" s="467">
        <v>42522</v>
      </c>
      <c r="C503" s="468" t="s">
        <v>3719</v>
      </c>
      <c r="D503" s="468" t="s">
        <v>3721</v>
      </c>
      <c r="E503" s="468" t="s">
        <v>3720</v>
      </c>
      <c r="F503" s="468" t="s">
        <v>993</v>
      </c>
      <c r="G503" s="466">
        <v>5</v>
      </c>
      <c r="H503" s="465">
        <v>6.5</v>
      </c>
      <c r="I503" s="466"/>
      <c r="J503" s="466"/>
      <c r="K503" s="466">
        <v>6</v>
      </c>
      <c r="L503" s="506">
        <v>8</v>
      </c>
      <c r="M503" s="463">
        <v>27000</v>
      </c>
      <c r="N503" s="468" t="s">
        <v>4925</v>
      </c>
      <c r="O503" s="466">
        <v>5</v>
      </c>
      <c r="P503" s="523">
        <v>-11.75</v>
      </c>
      <c r="Q503" s="462">
        <v>9.1296296296296297E-4</v>
      </c>
      <c r="R503" s="463">
        <v>810</v>
      </c>
      <c r="S503" s="466"/>
      <c r="T503" s="524"/>
      <c r="W503" s="460"/>
      <c r="AY503" s="486" t="str">
        <f t="shared" si="27"/>
        <v/>
      </c>
      <c r="AZ503" s="487" t="str">
        <f t="shared" si="28"/>
        <v/>
      </c>
      <c r="CH503" s="459"/>
    </row>
    <row r="504" spans="1:86" s="461" customFormat="1" ht="12" customHeight="1" x14ac:dyDescent="0.15">
      <c r="A504" s="522" t="s">
        <v>2218</v>
      </c>
      <c r="B504" s="467">
        <v>42523</v>
      </c>
      <c r="C504" s="468" t="s">
        <v>4663</v>
      </c>
      <c r="D504" s="468" t="s">
        <v>4664</v>
      </c>
      <c r="E504" s="468" t="s">
        <v>3878</v>
      </c>
      <c r="F504" s="468" t="s">
        <v>1153</v>
      </c>
      <c r="G504" s="466">
        <v>2</v>
      </c>
      <c r="H504" s="465">
        <v>5</v>
      </c>
      <c r="I504" s="466" t="s">
        <v>3730</v>
      </c>
      <c r="J504" s="466"/>
      <c r="K504" s="466">
        <v>9</v>
      </c>
      <c r="L504" s="506">
        <v>10</v>
      </c>
      <c r="M504" s="463">
        <v>22000</v>
      </c>
      <c r="N504" s="468" t="s">
        <v>4752</v>
      </c>
      <c r="O504" s="466">
        <v>4</v>
      </c>
      <c r="P504" s="523">
        <v>-1.5</v>
      </c>
      <c r="Q504" s="462">
        <v>6.8101851851851863E-4</v>
      </c>
      <c r="R504" s="463">
        <v>1320</v>
      </c>
      <c r="S504" s="466"/>
      <c r="T504" s="524"/>
      <c r="W504" s="460"/>
      <c r="AY504" s="486" t="str">
        <f t="shared" si="27"/>
        <v/>
      </c>
      <c r="AZ504" s="487" t="str">
        <f t="shared" si="28"/>
        <v/>
      </c>
      <c r="CH504" s="459"/>
    </row>
    <row r="505" spans="1:86" s="461" customFormat="1" ht="12" customHeight="1" x14ac:dyDescent="0.15">
      <c r="A505" s="522" t="s">
        <v>3899</v>
      </c>
      <c r="B505" s="467">
        <v>42523</v>
      </c>
      <c r="C505" s="468" t="s">
        <v>4943</v>
      </c>
      <c r="D505" s="468" t="s">
        <v>4494</v>
      </c>
      <c r="E505" s="468" t="s">
        <v>4309</v>
      </c>
      <c r="F505" s="468" t="s">
        <v>540</v>
      </c>
      <c r="G505" s="466">
        <v>5</v>
      </c>
      <c r="H505" s="465">
        <v>8</v>
      </c>
      <c r="I505" s="466" t="s">
        <v>3730</v>
      </c>
      <c r="J505" s="466"/>
      <c r="K505" s="466">
        <v>7</v>
      </c>
      <c r="L505" s="506">
        <v>5</v>
      </c>
      <c r="M505" s="463">
        <v>42000</v>
      </c>
      <c r="N505" s="468" t="s">
        <v>4636</v>
      </c>
      <c r="O505" s="466">
        <v>4</v>
      </c>
      <c r="P505" s="523">
        <v>-6.75</v>
      </c>
      <c r="Q505" s="462">
        <v>1.1671296296296297E-3</v>
      </c>
      <c r="R505" s="463">
        <v>1800</v>
      </c>
      <c r="S505" s="466"/>
      <c r="T505" s="524"/>
      <c r="W505" s="460"/>
      <c r="AY505" s="486" t="str">
        <f t="shared" si="27"/>
        <v/>
      </c>
      <c r="AZ505" s="487" t="str">
        <f t="shared" si="28"/>
        <v/>
      </c>
      <c r="CH505" s="459"/>
    </row>
    <row r="506" spans="1:86" s="469" customFormat="1" ht="12" customHeight="1" x14ac:dyDescent="0.15">
      <c r="A506" s="471" t="s">
        <v>2157</v>
      </c>
      <c r="B506" s="472">
        <v>42523</v>
      </c>
      <c r="C506" s="471" t="s">
        <v>4944</v>
      </c>
      <c r="D506" s="471" t="s">
        <v>4941</v>
      </c>
      <c r="E506" s="471" t="s">
        <v>3671</v>
      </c>
      <c r="F506" s="471" t="s">
        <v>433</v>
      </c>
      <c r="G506" s="473">
        <v>9</v>
      </c>
      <c r="H506" s="474">
        <v>8</v>
      </c>
      <c r="I506" s="475" t="s">
        <v>3730</v>
      </c>
      <c r="J506" s="475"/>
      <c r="K506" s="473">
        <v>12</v>
      </c>
      <c r="L506" s="458">
        <v>30</v>
      </c>
      <c r="M506" s="476">
        <v>52000</v>
      </c>
      <c r="N506" s="471" t="s">
        <v>4940</v>
      </c>
      <c r="O506" s="477" t="s">
        <v>431</v>
      </c>
      <c r="P506" s="478" t="s">
        <v>431</v>
      </c>
      <c r="Q506" s="479" t="s">
        <v>431</v>
      </c>
      <c r="R506" s="480" t="s">
        <v>431</v>
      </c>
      <c r="S506" s="477"/>
      <c r="T506" s="481" t="s">
        <v>4986</v>
      </c>
      <c r="U506" s="482"/>
      <c r="V506" s="482"/>
      <c r="W506" s="483"/>
      <c r="X506" s="482"/>
      <c r="Y506" s="482"/>
      <c r="Z506" s="482"/>
      <c r="AA506" s="482"/>
      <c r="AB506" s="482"/>
      <c r="AC506" s="482"/>
      <c r="AD506" s="482"/>
      <c r="AE506" s="482"/>
      <c r="AF506" s="482"/>
      <c r="AG506" s="482"/>
      <c r="AH506" s="482"/>
      <c r="AI506" s="482"/>
      <c r="AJ506" s="482"/>
      <c r="AK506" s="482"/>
      <c r="AL506" s="482"/>
      <c r="AM506" s="482"/>
      <c r="AN506" s="482"/>
      <c r="AO506" s="482"/>
      <c r="AP506" s="482"/>
      <c r="AQ506" s="482"/>
      <c r="AR506" s="482"/>
      <c r="AS506" s="482"/>
      <c r="AT506" s="482"/>
      <c r="AU506" s="482"/>
      <c r="AV506" s="482"/>
      <c r="AW506" s="482"/>
      <c r="AX506" s="482"/>
      <c r="AY506" s="486" t="str">
        <f t="shared" si="27"/>
        <v/>
      </c>
      <c r="AZ506" s="487" t="str">
        <f t="shared" si="28"/>
        <v/>
      </c>
      <c r="BA506" s="482"/>
      <c r="BB506" s="482"/>
      <c r="BC506" s="482"/>
      <c r="BD506" s="482"/>
      <c r="BE506" s="482"/>
      <c r="BF506" s="482"/>
      <c r="BG506" s="482"/>
      <c r="BH506" s="482"/>
      <c r="BI506" s="482"/>
      <c r="BJ506" s="482"/>
      <c r="BK506" s="482"/>
      <c r="BL506" s="482"/>
      <c r="BM506" s="482"/>
      <c r="BN506" s="482"/>
      <c r="BO506" s="482"/>
      <c r="BP506" s="482"/>
      <c r="BQ506" s="482"/>
      <c r="BR506" s="482"/>
      <c r="BS506" s="482"/>
      <c r="BT506" s="482"/>
      <c r="BU506" s="482"/>
      <c r="BV506" s="482"/>
      <c r="BW506" s="482"/>
      <c r="BX506" s="482"/>
      <c r="BY506" s="482"/>
      <c r="BZ506" s="482"/>
      <c r="CA506" s="482"/>
      <c r="CB506" s="482"/>
      <c r="CC506" s="482"/>
      <c r="CD506" s="482"/>
      <c r="CE506" s="482"/>
      <c r="CF506" s="482"/>
      <c r="CG506" s="482"/>
      <c r="CH506" s="484"/>
    </row>
    <row r="507" spans="1:86" s="461" customFormat="1" ht="12" customHeight="1" x14ac:dyDescent="0.15">
      <c r="A507" s="522" t="s">
        <v>2178</v>
      </c>
      <c r="B507" s="467">
        <v>42523</v>
      </c>
      <c r="C507" s="468" t="s">
        <v>4800</v>
      </c>
      <c r="D507" s="468" t="s">
        <v>4403</v>
      </c>
      <c r="E507" s="468" t="s">
        <v>66</v>
      </c>
      <c r="F507" s="468" t="s">
        <v>2376</v>
      </c>
      <c r="G507" s="466">
        <v>1</v>
      </c>
      <c r="H507" s="465">
        <v>6</v>
      </c>
      <c r="I507" s="466"/>
      <c r="J507" s="466"/>
      <c r="K507" s="466">
        <v>7</v>
      </c>
      <c r="L507" s="506">
        <v>10</v>
      </c>
      <c r="M507" s="463">
        <v>11400</v>
      </c>
      <c r="N507" s="468" t="s">
        <v>197</v>
      </c>
      <c r="O507" s="466">
        <v>6</v>
      </c>
      <c r="P507" s="523">
        <v>-11.25</v>
      </c>
      <c r="Q507" s="462">
        <v>8.4224537037037026E-4</v>
      </c>
      <c r="R507" s="463">
        <v>0</v>
      </c>
      <c r="S507" s="466"/>
      <c r="T507" s="524"/>
      <c r="W507" s="460"/>
      <c r="AY507" s="486" t="str">
        <f t="shared" si="27"/>
        <v/>
      </c>
      <c r="AZ507" s="487" t="str">
        <f t="shared" si="28"/>
        <v/>
      </c>
      <c r="CH507" s="459"/>
    </row>
    <row r="508" spans="1:86" s="461" customFormat="1" ht="12" customHeight="1" x14ac:dyDescent="0.15">
      <c r="A508" s="522" t="s">
        <v>2127</v>
      </c>
      <c r="B508" s="467">
        <v>42523</v>
      </c>
      <c r="C508" s="468" t="s">
        <v>1838</v>
      </c>
      <c r="D508" s="468" t="s">
        <v>3842</v>
      </c>
      <c r="E508" s="468" t="s">
        <v>3843</v>
      </c>
      <c r="F508" s="468" t="s">
        <v>993</v>
      </c>
      <c r="G508" s="466">
        <v>7</v>
      </c>
      <c r="H508" s="465">
        <v>6.5</v>
      </c>
      <c r="I508" s="466"/>
      <c r="J508" s="466"/>
      <c r="K508" s="466">
        <v>7</v>
      </c>
      <c r="L508" s="506">
        <v>10</v>
      </c>
      <c r="M508" s="463">
        <v>24500</v>
      </c>
      <c r="N508" s="468" t="s">
        <v>4296</v>
      </c>
      <c r="O508" s="466">
        <v>6</v>
      </c>
      <c r="P508" s="523">
        <v>-7</v>
      </c>
      <c r="Q508" s="462">
        <v>9.231481481481482E-4</v>
      </c>
      <c r="R508" s="463">
        <v>488</v>
      </c>
      <c r="S508" s="466"/>
      <c r="T508" s="524"/>
      <c r="W508" s="460"/>
      <c r="AY508" s="486" t="str">
        <f t="shared" si="27"/>
        <v/>
      </c>
      <c r="AZ508" s="487" t="str">
        <f t="shared" si="28"/>
        <v/>
      </c>
      <c r="CH508" s="459"/>
    </row>
    <row r="509" spans="1:86" s="469" customFormat="1" ht="12" customHeight="1" x14ac:dyDescent="0.15">
      <c r="A509" s="471" t="s">
        <v>2155</v>
      </c>
      <c r="B509" s="472">
        <v>42524</v>
      </c>
      <c r="C509" s="471" t="s">
        <v>1767</v>
      </c>
      <c r="D509" s="471" t="s">
        <v>3881</v>
      </c>
      <c r="E509" s="471" t="s">
        <v>3880</v>
      </c>
      <c r="F509" s="471" t="s">
        <v>1153</v>
      </c>
      <c r="G509" s="473">
        <v>1</v>
      </c>
      <c r="H509" s="474">
        <v>8</v>
      </c>
      <c r="I509" s="475" t="s">
        <v>959</v>
      </c>
      <c r="J509" s="475" t="s">
        <v>4366</v>
      </c>
      <c r="K509" s="473">
        <v>9</v>
      </c>
      <c r="L509" s="458">
        <v>15</v>
      </c>
      <c r="M509" s="476">
        <v>30000</v>
      </c>
      <c r="N509" s="471" t="s">
        <v>4598</v>
      </c>
      <c r="O509" s="477" t="s">
        <v>431</v>
      </c>
      <c r="P509" s="478" t="s">
        <v>431</v>
      </c>
      <c r="Q509" s="479" t="s">
        <v>431</v>
      </c>
      <c r="R509" s="480" t="s">
        <v>431</v>
      </c>
      <c r="S509" s="477"/>
      <c r="T509" s="481" t="s">
        <v>4785</v>
      </c>
      <c r="U509" s="482"/>
      <c r="V509" s="482"/>
      <c r="W509" s="483"/>
      <c r="X509" s="482"/>
      <c r="Y509" s="482"/>
      <c r="Z509" s="482"/>
      <c r="AA509" s="482"/>
      <c r="AB509" s="482"/>
      <c r="AC509" s="482"/>
      <c r="AD509" s="482"/>
      <c r="AE509" s="482"/>
      <c r="AF509" s="482"/>
      <c r="AG509" s="482"/>
      <c r="AH509" s="482"/>
      <c r="AI509" s="482"/>
      <c r="AJ509" s="482"/>
      <c r="AK509" s="482"/>
      <c r="AL509" s="482"/>
      <c r="AM509" s="482"/>
      <c r="AN509" s="482"/>
      <c r="AO509" s="482"/>
      <c r="AP509" s="482"/>
      <c r="AQ509" s="482"/>
      <c r="AR509" s="482"/>
      <c r="AS509" s="482"/>
      <c r="AT509" s="482"/>
      <c r="AU509" s="482"/>
      <c r="AV509" s="482"/>
      <c r="AW509" s="482"/>
      <c r="AX509" s="482"/>
      <c r="AY509" s="486"/>
      <c r="AZ509" s="487" t="str">
        <f t="shared" si="28"/>
        <v/>
      </c>
      <c r="BA509" s="482"/>
      <c r="BB509" s="482"/>
      <c r="BC509" s="482"/>
      <c r="BD509" s="482"/>
      <c r="BE509" s="482"/>
      <c r="BF509" s="482"/>
      <c r="BG509" s="482"/>
      <c r="BH509" s="482"/>
      <c r="BI509" s="482"/>
      <c r="BJ509" s="482"/>
      <c r="BK509" s="482"/>
      <c r="BL509" s="482"/>
      <c r="BM509" s="482"/>
      <c r="BN509" s="482"/>
      <c r="BO509" s="482"/>
      <c r="BP509" s="482"/>
      <c r="BQ509" s="482"/>
      <c r="BR509" s="482"/>
      <c r="BS509" s="482"/>
      <c r="BT509" s="482"/>
      <c r="BU509" s="482"/>
      <c r="BV509" s="482"/>
      <c r="BW509" s="482"/>
      <c r="BX509" s="482"/>
      <c r="BY509" s="482"/>
      <c r="BZ509" s="482"/>
      <c r="CA509" s="482"/>
      <c r="CB509" s="482"/>
      <c r="CC509" s="482"/>
      <c r="CD509" s="482"/>
      <c r="CE509" s="482"/>
      <c r="CF509" s="482"/>
      <c r="CG509" s="482"/>
      <c r="CH509" s="484"/>
    </row>
    <row r="510" spans="1:86" s="461" customFormat="1" ht="12" customHeight="1" x14ac:dyDescent="0.15">
      <c r="A510" s="522" t="s">
        <v>4295</v>
      </c>
      <c r="B510" s="467">
        <v>42524</v>
      </c>
      <c r="C510" s="468" t="s">
        <v>4321</v>
      </c>
      <c r="D510" s="468" t="s">
        <v>3945</v>
      </c>
      <c r="E510" s="468" t="s">
        <v>1310</v>
      </c>
      <c r="F510" s="468" t="s">
        <v>3686</v>
      </c>
      <c r="G510" s="466">
        <v>3</v>
      </c>
      <c r="H510" s="465">
        <v>5</v>
      </c>
      <c r="I510" s="466"/>
      <c r="J510" s="466"/>
      <c r="K510" s="466">
        <v>10</v>
      </c>
      <c r="L510" s="464" t="s">
        <v>431</v>
      </c>
      <c r="M510" s="463">
        <v>5623</v>
      </c>
      <c r="N510" s="468" t="s">
        <v>3348</v>
      </c>
      <c r="O510" s="466">
        <v>9</v>
      </c>
      <c r="P510" s="523">
        <v>-15.75</v>
      </c>
      <c r="Q510" s="462">
        <v>6.7465277777777782E-4</v>
      </c>
      <c r="R510" s="463">
        <v>99</v>
      </c>
      <c r="S510" s="466" t="s">
        <v>625</v>
      </c>
      <c r="T510" s="524"/>
      <c r="W510" s="460"/>
      <c r="AY510" s="486">
        <f t="shared" si="27"/>
        <v>99</v>
      </c>
      <c r="AZ510" s="487" t="str">
        <f t="shared" si="28"/>
        <v/>
      </c>
      <c r="CH510" s="459"/>
    </row>
    <row r="511" spans="1:86" s="461" customFormat="1" ht="12" customHeight="1" x14ac:dyDescent="0.15">
      <c r="A511" s="522" t="s">
        <v>4654</v>
      </c>
      <c r="B511" s="467">
        <v>42524</v>
      </c>
      <c r="C511" s="468" t="s">
        <v>2605</v>
      </c>
      <c r="D511" s="468" t="s">
        <v>4177</v>
      </c>
      <c r="E511" s="468" t="s">
        <v>1310</v>
      </c>
      <c r="F511" s="468" t="s">
        <v>3686</v>
      </c>
      <c r="G511" s="466">
        <v>7</v>
      </c>
      <c r="H511" s="465">
        <v>5</v>
      </c>
      <c r="I511" s="466"/>
      <c r="J511" s="466"/>
      <c r="K511" s="466">
        <v>12</v>
      </c>
      <c r="L511" s="464" t="s">
        <v>431</v>
      </c>
      <c r="M511" s="463">
        <v>5623</v>
      </c>
      <c r="N511" s="468" t="s">
        <v>3348</v>
      </c>
      <c r="O511" s="466">
        <v>8</v>
      </c>
      <c r="P511" s="523">
        <v>-14.25</v>
      </c>
      <c r="Q511" s="462">
        <v>7.5000000000000012E-4</v>
      </c>
      <c r="R511" s="463">
        <v>99</v>
      </c>
      <c r="S511" s="466" t="s">
        <v>625</v>
      </c>
      <c r="T511" s="524"/>
      <c r="W511" s="460"/>
      <c r="AY511" s="486">
        <f t="shared" si="27"/>
        <v>99</v>
      </c>
      <c r="AZ511" s="487" t="str">
        <f t="shared" si="28"/>
        <v/>
      </c>
      <c r="CH511" s="459"/>
    </row>
    <row r="512" spans="1:86" s="461" customFormat="1" ht="12" customHeight="1" x14ac:dyDescent="0.15">
      <c r="A512" s="522" t="s">
        <v>3369</v>
      </c>
      <c r="B512" s="467">
        <v>42524</v>
      </c>
      <c r="C512" s="468" t="s">
        <v>3370</v>
      </c>
      <c r="D512" s="468" t="s">
        <v>3902</v>
      </c>
      <c r="E512" s="468" t="s">
        <v>1310</v>
      </c>
      <c r="F512" s="468" t="s">
        <v>3686</v>
      </c>
      <c r="G512" s="466">
        <v>2</v>
      </c>
      <c r="H512" s="465">
        <v>6</v>
      </c>
      <c r="I512" s="466"/>
      <c r="J512" s="466"/>
      <c r="K512" s="466">
        <v>9</v>
      </c>
      <c r="L512" s="464" t="s">
        <v>431</v>
      </c>
      <c r="M512" s="463">
        <v>6588</v>
      </c>
      <c r="N512" s="468" t="s">
        <v>3225</v>
      </c>
      <c r="O512" s="466">
        <v>5</v>
      </c>
      <c r="P512" s="523">
        <v>-4</v>
      </c>
      <c r="Q512" s="462">
        <v>8.2256944444444435E-4</v>
      </c>
      <c r="R512" s="463">
        <v>99</v>
      </c>
      <c r="S512" s="466" t="s">
        <v>625</v>
      </c>
      <c r="T512" s="524"/>
      <c r="W512" s="460"/>
      <c r="AY512" s="486">
        <f t="shared" si="27"/>
        <v>99</v>
      </c>
      <c r="AZ512" s="487" t="str">
        <f t="shared" si="28"/>
        <v/>
      </c>
      <c r="CH512" s="459"/>
    </row>
    <row r="513" spans="1:90" s="461" customFormat="1" ht="12" customHeight="1" x14ac:dyDescent="0.15">
      <c r="A513" s="522" t="s">
        <v>2475</v>
      </c>
      <c r="B513" s="467">
        <v>42524</v>
      </c>
      <c r="C513" s="468" t="s">
        <v>5176</v>
      </c>
      <c r="D513" s="468" t="s">
        <v>4772</v>
      </c>
      <c r="E513" s="468" t="s">
        <v>4600</v>
      </c>
      <c r="F513" s="468" t="s">
        <v>1153</v>
      </c>
      <c r="G513" s="466">
        <v>2</v>
      </c>
      <c r="H513" s="465">
        <v>6</v>
      </c>
      <c r="I513" s="466"/>
      <c r="J513" s="466"/>
      <c r="K513" s="466">
        <v>6</v>
      </c>
      <c r="L513" s="506">
        <v>8</v>
      </c>
      <c r="M513" s="463">
        <v>33000</v>
      </c>
      <c r="N513" s="468" t="s">
        <v>4945</v>
      </c>
      <c r="O513" s="466">
        <v>4</v>
      </c>
      <c r="P513" s="523">
        <v>-9.5</v>
      </c>
      <c r="Q513" s="462">
        <v>8.5266203703703708E-4</v>
      </c>
      <c r="R513" s="463">
        <v>1980</v>
      </c>
      <c r="S513" s="466"/>
      <c r="T513" s="524"/>
      <c r="W513" s="460"/>
      <c r="AY513" s="486" t="str">
        <f t="shared" si="27"/>
        <v/>
      </c>
      <c r="AZ513" s="487" t="str">
        <f t="shared" si="28"/>
        <v/>
      </c>
      <c r="CH513" s="459"/>
    </row>
    <row r="514" spans="1:90" s="469" customFormat="1" ht="12" customHeight="1" x14ac:dyDescent="0.15">
      <c r="A514" s="444" t="s">
        <v>1534</v>
      </c>
      <c r="B514" s="445">
        <v>42524</v>
      </c>
      <c r="C514" s="446" t="s">
        <v>4825</v>
      </c>
      <c r="D514" s="446" t="s">
        <v>4934</v>
      </c>
      <c r="E514" s="446" t="s">
        <v>4819</v>
      </c>
      <c r="F514" s="446" t="s">
        <v>2376</v>
      </c>
      <c r="G514" s="447">
        <v>3</v>
      </c>
      <c r="H514" s="448">
        <v>8</v>
      </c>
      <c r="I514" s="447"/>
      <c r="J514" s="447" t="s">
        <v>961</v>
      </c>
      <c r="K514" s="447">
        <v>9</v>
      </c>
      <c r="L514" s="449">
        <f>5/2</f>
        <v>2.5</v>
      </c>
      <c r="M514" s="450">
        <v>10500</v>
      </c>
      <c r="N514" s="446" t="s">
        <v>4935</v>
      </c>
      <c r="O514" s="447">
        <v>1</v>
      </c>
      <c r="P514" s="451">
        <v>0.75</v>
      </c>
      <c r="Q514" s="452">
        <v>1.1616898148148148E-3</v>
      </c>
      <c r="R514" s="450">
        <v>7560</v>
      </c>
      <c r="S514" s="447"/>
      <c r="T514" s="453" t="s">
        <v>3714</v>
      </c>
      <c r="U514" s="454"/>
      <c r="V514" s="454"/>
      <c r="W514" s="455"/>
      <c r="X514" s="454"/>
      <c r="Y514" s="454"/>
      <c r="Z514" s="454"/>
      <c r="AA514" s="454"/>
      <c r="AB514" s="454"/>
      <c r="AC514" s="454"/>
      <c r="AD514" s="454"/>
      <c r="AE514" s="454"/>
      <c r="AF514" s="454"/>
      <c r="AG514" s="454"/>
      <c r="AH514" s="454"/>
      <c r="AI514" s="454"/>
      <c r="AJ514" s="454"/>
      <c r="AK514" s="454"/>
      <c r="AL514" s="454"/>
      <c r="AM514" s="454"/>
      <c r="AN514" s="454"/>
      <c r="AO514" s="454"/>
      <c r="AP514" s="454"/>
      <c r="AQ514" s="454"/>
      <c r="AR514" s="454"/>
      <c r="AS514" s="454"/>
      <c r="AT514" s="454"/>
      <c r="AU514" s="454"/>
      <c r="AV514" s="454"/>
      <c r="AW514" s="454"/>
      <c r="AX514" s="454"/>
      <c r="AY514" s="486" t="str">
        <f t="shared" si="27"/>
        <v/>
      </c>
      <c r="AZ514" s="487">
        <f t="shared" si="28"/>
        <v>1</v>
      </c>
      <c r="BA514" s="454"/>
      <c r="BB514" s="454"/>
      <c r="BC514" s="454"/>
      <c r="BD514" s="454"/>
      <c r="BE514" s="454"/>
      <c r="BF514" s="454"/>
      <c r="BG514" s="454"/>
      <c r="BH514" s="454"/>
      <c r="BI514" s="454"/>
      <c r="BJ514" s="454"/>
      <c r="BK514" s="454"/>
      <c r="BL514" s="454"/>
      <c r="BM514" s="454"/>
      <c r="BN514" s="454"/>
      <c r="BO514" s="454"/>
      <c r="BP514" s="454"/>
      <c r="BQ514" s="454"/>
      <c r="BR514" s="454"/>
      <c r="BS514" s="454"/>
      <c r="BT514" s="454"/>
      <c r="BU514" s="454"/>
      <c r="BV514" s="454"/>
      <c r="BW514" s="454"/>
      <c r="BX514" s="454"/>
      <c r="BY514" s="454"/>
      <c r="BZ514" s="454"/>
      <c r="CA514" s="454"/>
      <c r="CB514" s="454"/>
      <c r="CC514" s="454"/>
      <c r="CD514" s="454"/>
      <c r="CE514" s="454"/>
      <c r="CF514" s="454"/>
      <c r="CG514" s="454"/>
      <c r="CH514" s="456"/>
      <c r="CI514" s="454"/>
      <c r="CJ514" s="454"/>
      <c r="CK514" s="454"/>
      <c r="CL514" s="454"/>
    </row>
    <row r="515" spans="1:90" s="461" customFormat="1" ht="12" customHeight="1" x14ac:dyDescent="0.15">
      <c r="A515" s="522" t="s">
        <v>3825</v>
      </c>
      <c r="B515" s="467">
        <v>42525</v>
      </c>
      <c r="C515" s="468" t="s">
        <v>3826</v>
      </c>
      <c r="D515" s="468" t="s">
        <v>3827</v>
      </c>
      <c r="E515" s="468" t="s">
        <v>3683</v>
      </c>
      <c r="F515" s="468" t="s">
        <v>3686</v>
      </c>
      <c r="G515" s="466">
        <v>11</v>
      </c>
      <c r="H515" s="465">
        <v>7</v>
      </c>
      <c r="I515" s="466"/>
      <c r="J515" s="466" t="s">
        <v>4371</v>
      </c>
      <c r="K515" s="466">
        <v>12</v>
      </c>
      <c r="L515" s="464" t="s">
        <v>431</v>
      </c>
      <c r="M515" s="463">
        <v>50905</v>
      </c>
      <c r="N515" s="468" t="s">
        <v>4952</v>
      </c>
      <c r="O515" s="466">
        <v>5</v>
      </c>
      <c r="P515" s="523">
        <v>-8.25</v>
      </c>
      <c r="Q515" s="462">
        <v>9.5659722222222229E-4</v>
      </c>
      <c r="R515" s="463">
        <v>99</v>
      </c>
      <c r="S515" s="466" t="s">
        <v>625</v>
      </c>
      <c r="T515" s="524"/>
      <c r="W515" s="460"/>
      <c r="AY515" s="486">
        <f t="shared" si="27"/>
        <v>99</v>
      </c>
      <c r="AZ515" s="487" t="str">
        <f t="shared" si="28"/>
        <v/>
      </c>
      <c r="CH515" s="459"/>
    </row>
    <row r="516" spans="1:90" s="461" customFormat="1" ht="12" customHeight="1" x14ac:dyDescent="0.15">
      <c r="A516" s="522" t="s">
        <v>3937</v>
      </c>
      <c r="B516" s="467">
        <v>42525</v>
      </c>
      <c r="C516" s="468" t="s">
        <v>3939</v>
      </c>
      <c r="D516" s="468" t="s">
        <v>3938</v>
      </c>
      <c r="E516" s="468" t="s">
        <v>4178</v>
      </c>
      <c r="F516" s="468" t="s">
        <v>3686</v>
      </c>
      <c r="G516" s="466">
        <v>12</v>
      </c>
      <c r="H516" s="465">
        <v>7</v>
      </c>
      <c r="I516" s="466"/>
      <c r="J516" s="466" t="s">
        <v>4371</v>
      </c>
      <c r="K516" s="466">
        <v>14</v>
      </c>
      <c r="L516" s="464" t="s">
        <v>431</v>
      </c>
      <c r="M516" s="463">
        <v>50905</v>
      </c>
      <c r="N516" s="468" t="s">
        <v>4951</v>
      </c>
      <c r="O516" s="466">
        <v>12</v>
      </c>
      <c r="P516" s="523">
        <v>-15.5</v>
      </c>
      <c r="Q516" s="462">
        <v>9.7997685185185189E-4</v>
      </c>
      <c r="R516" s="463">
        <v>99</v>
      </c>
      <c r="S516" s="466" t="s">
        <v>625</v>
      </c>
      <c r="T516" s="524"/>
      <c r="W516" s="460"/>
      <c r="AY516" s="486">
        <f t="shared" si="27"/>
        <v>99</v>
      </c>
      <c r="AZ516" s="487" t="str">
        <f t="shared" si="28"/>
        <v/>
      </c>
      <c r="CH516" s="459"/>
    </row>
    <row r="517" spans="1:90" s="461" customFormat="1" ht="12" customHeight="1" x14ac:dyDescent="0.15">
      <c r="A517" s="522" t="s">
        <v>4294</v>
      </c>
      <c r="B517" s="467">
        <v>42525</v>
      </c>
      <c r="C517" s="468" t="s">
        <v>3951</v>
      </c>
      <c r="D517" s="468" t="s">
        <v>3725</v>
      </c>
      <c r="E517" s="468" t="s">
        <v>3684</v>
      </c>
      <c r="F517" s="468" t="s">
        <v>3686</v>
      </c>
      <c r="G517" s="466">
        <v>6</v>
      </c>
      <c r="H517" s="465">
        <v>5.5</v>
      </c>
      <c r="I517" s="466"/>
      <c r="J517" s="466" t="s">
        <v>4371</v>
      </c>
      <c r="K517" s="466">
        <v>11</v>
      </c>
      <c r="L517" s="464" t="s">
        <v>431</v>
      </c>
      <c r="M517" s="463">
        <v>9271</v>
      </c>
      <c r="N517" s="468" t="s">
        <v>4006</v>
      </c>
      <c r="O517" s="466">
        <v>6</v>
      </c>
      <c r="P517" s="523">
        <v>-14.75</v>
      </c>
      <c r="Q517" s="462">
        <v>7.4745370370370373E-4</v>
      </c>
      <c r="R517" s="463">
        <v>99</v>
      </c>
      <c r="S517" s="466" t="s">
        <v>625</v>
      </c>
      <c r="T517" s="524"/>
      <c r="W517" s="460"/>
      <c r="AY517" s="486">
        <f t="shared" si="27"/>
        <v>99</v>
      </c>
      <c r="AZ517" s="487" t="str">
        <f t="shared" si="28"/>
        <v/>
      </c>
      <c r="CH517" s="459"/>
    </row>
    <row r="518" spans="1:90" s="461" customFormat="1" ht="12" customHeight="1" x14ac:dyDescent="0.15">
      <c r="A518" s="522" t="s">
        <v>4953</v>
      </c>
      <c r="B518" s="467">
        <v>42525</v>
      </c>
      <c r="C518" s="468" t="s">
        <v>4954</v>
      </c>
      <c r="D518" s="468" t="s">
        <v>5106</v>
      </c>
      <c r="E518" s="468" t="s">
        <v>4977</v>
      </c>
      <c r="F518" s="468" t="s">
        <v>3686</v>
      </c>
      <c r="G518" s="466">
        <v>4</v>
      </c>
      <c r="H518" s="465">
        <v>5.5</v>
      </c>
      <c r="I518" s="466"/>
      <c r="J518" s="466" t="s">
        <v>4371</v>
      </c>
      <c r="K518" s="466">
        <v>10</v>
      </c>
      <c r="L518" s="464" t="s">
        <v>431</v>
      </c>
      <c r="M518" s="463">
        <v>9271</v>
      </c>
      <c r="N518" s="468" t="s">
        <v>4006</v>
      </c>
      <c r="O518" s="466">
        <v>4</v>
      </c>
      <c r="P518" s="523">
        <v>-3</v>
      </c>
      <c r="Q518" s="462">
        <v>7.5752314814814812E-4</v>
      </c>
      <c r="R518" s="463">
        <v>559</v>
      </c>
      <c r="S518" s="466" t="s">
        <v>625</v>
      </c>
      <c r="T518" s="524"/>
      <c r="W518" s="460"/>
      <c r="AY518" s="486">
        <f t="shared" si="27"/>
        <v>559</v>
      </c>
      <c r="AZ518" s="487" t="str">
        <f t="shared" si="28"/>
        <v/>
      </c>
      <c r="CH518" s="459"/>
    </row>
    <row r="519" spans="1:90" s="461" customFormat="1" ht="12" customHeight="1" x14ac:dyDescent="0.15">
      <c r="A519" s="522" t="s">
        <v>3594</v>
      </c>
      <c r="B519" s="467">
        <v>42525</v>
      </c>
      <c r="C519" s="468" t="s">
        <v>3595</v>
      </c>
      <c r="D519" s="468" t="s">
        <v>3472</v>
      </c>
      <c r="E519" s="468" t="s">
        <v>3683</v>
      </c>
      <c r="F519" s="468" t="s">
        <v>3686</v>
      </c>
      <c r="G519" s="466">
        <v>5</v>
      </c>
      <c r="H519" s="465">
        <v>5.5</v>
      </c>
      <c r="I519" s="466"/>
      <c r="J519" s="466" t="s">
        <v>4371</v>
      </c>
      <c r="K519" s="466">
        <v>11</v>
      </c>
      <c r="L519" s="464" t="s">
        <v>431</v>
      </c>
      <c r="M519" s="463">
        <v>5623</v>
      </c>
      <c r="N519" s="468" t="s">
        <v>3348</v>
      </c>
      <c r="O519" s="466">
        <v>3</v>
      </c>
      <c r="P519" s="523">
        <v>-0.75</v>
      </c>
      <c r="Q519" s="462">
        <v>7.5370370370370359E-4</v>
      </c>
      <c r="R519" s="463">
        <v>734</v>
      </c>
      <c r="S519" s="466" t="s">
        <v>625</v>
      </c>
      <c r="T519" s="524"/>
      <c r="W519" s="460"/>
      <c r="AY519" s="486">
        <f t="shared" si="27"/>
        <v>734</v>
      </c>
      <c r="AZ519" s="487" t="str">
        <f t="shared" si="28"/>
        <v/>
      </c>
      <c r="CH519" s="459"/>
    </row>
    <row r="520" spans="1:90" s="469" customFormat="1" ht="12" customHeight="1" x14ac:dyDescent="0.15">
      <c r="A520" s="471" t="s">
        <v>4988</v>
      </c>
      <c r="B520" s="472">
        <v>42525</v>
      </c>
      <c r="C520" s="471" t="s">
        <v>2723</v>
      </c>
      <c r="D520" s="471" t="s">
        <v>4176</v>
      </c>
      <c r="E520" s="471" t="s">
        <v>4977</v>
      </c>
      <c r="F520" s="471" t="s">
        <v>3686</v>
      </c>
      <c r="G520" s="473">
        <v>12</v>
      </c>
      <c r="H520" s="474">
        <v>7</v>
      </c>
      <c r="I520" s="475"/>
      <c r="J520" s="475"/>
      <c r="K520" s="473">
        <v>10</v>
      </c>
      <c r="L520" s="458"/>
      <c r="M520" s="476">
        <v>5923</v>
      </c>
      <c r="N520" s="471" t="s">
        <v>3348</v>
      </c>
      <c r="O520" s="477" t="s">
        <v>431</v>
      </c>
      <c r="P520" s="478" t="s">
        <v>431</v>
      </c>
      <c r="Q520" s="479" t="s">
        <v>431</v>
      </c>
      <c r="R520" s="480" t="s">
        <v>431</v>
      </c>
      <c r="S520" s="477" t="s">
        <v>625</v>
      </c>
      <c r="T520" s="481" t="s">
        <v>4785</v>
      </c>
      <c r="U520" s="482"/>
      <c r="V520" s="482"/>
      <c r="W520" s="483"/>
      <c r="X520" s="482"/>
      <c r="Y520" s="482"/>
      <c r="Z520" s="482"/>
      <c r="AA520" s="482"/>
      <c r="AB520" s="482"/>
      <c r="AC520" s="482"/>
      <c r="AD520" s="482"/>
      <c r="AE520" s="482"/>
      <c r="AF520" s="482"/>
      <c r="AG520" s="482"/>
      <c r="AH520" s="482"/>
      <c r="AI520" s="482"/>
      <c r="AJ520" s="482"/>
      <c r="AK520" s="482"/>
      <c r="AL520" s="482"/>
      <c r="AM520" s="482"/>
      <c r="AN520" s="482"/>
      <c r="AO520" s="482"/>
      <c r="AP520" s="482"/>
      <c r="AQ520" s="482"/>
      <c r="AR520" s="482"/>
      <c r="AS520" s="482"/>
      <c r="AT520" s="482"/>
      <c r="AU520" s="482"/>
      <c r="AV520" s="482"/>
      <c r="AW520" s="482"/>
      <c r="AX520" s="482"/>
      <c r="AY520" s="486" t="str">
        <f t="shared" si="27"/>
        <v>--</v>
      </c>
      <c r="AZ520" s="487" t="str">
        <f t="shared" si="28"/>
        <v/>
      </c>
      <c r="BA520" s="482"/>
      <c r="BB520" s="482"/>
      <c r="BC520" s="482"/>
      <c r="BD520" s="482"/>
      <c r="BE520" s="482"/>
      <c r="BF520" s="482"/>
      <c r="BG520" s="482"/>
      <c r="BH520" s="482"/>
      <c r="BI520" s="482"/>
      <c r="BJ520" s="482"/>
      <c r="BK520" s="482"/>
      <c r="BL520" s="482"/>
      <c r="BM520" s="482"/>
      <c r="BN520" s="482"/>
      <c r="BO520" s="482"/>
      <c r="BP520" s="482"/>
      <c r="BQ520" s="482"/>
      <c r="BR520" s="482"/>
      <c r="BS520" s="482"/>
      <c r="BT520" s="482"/>
      <c r="BU520" s="482"/>
      <c r="BV520" s="482"/>
      <c r="BW520" s="482"/>
      <c r="BX520" s="482"/>
      <c r="BY520" s="482"/>
      <c r="BZ520" s="482"/>
      <c r="CA520" s="482"/>
      <c r="CB520" s="482"/>
      <c r="CC520" s="482"/>
      <c r="CD520" s="482"/>
      <c r="CE520" s="482"/>
      <c r="CF520" s="482"/>
      <c r="CG520" s="482"/>
      <c r="CH520" s="484"/>
    </row>
    <row r="521" spans="1:90" s="469" customFormat="1" ht="12" customHeight="1" x14ac:dyDescent="0.15">
      <c r="A521" s="471" t="s">
        <v>3178</v>
      </c>
      <c r="B521" s="472">
        <v>42525</v>
      </c>
      <c r="C521" s="471" t="s">
        <v>2268</v>
      </c>
      <c r="D521" s="471" t="s">
        <v>4224</v>
      </c>
      <c r="E521" s="471" t="s">
        <v>4628</v>
      </c>
      <c r="F521" s="471" t="s">
        <v>4171</v>
      </c>
      <c r="G521" s="473">
        <v>7</v>
      </c>
      <c r="H521" s="474">
        <v>8</v>
      </c>
      <c r="I521" s="475" t="s">
        <v>3730</v>
      </c>
      <c r="J521" s="475"/>
      <c r="K521" s="473">
        <v>12</v>
      </c>
      <c r="L521" s="458">
        <v>20</v>
      </c>
      <c r="M521" s="476">
        <v>42000</v>
      </c>
      <c r="N521" s="471" t="s">
        <v>4578</v>
      </c>
      <c r="O521" s="477" t="s">
        <v>431</v>
      </c>
      <c r="P521" s="478" t="s">
        <v>431</v>
      </c>
      <c r="Q521" s="479" t="s">
        <v>431</v>
      </c>
      <c r="R521" s="480" t="s">
        <v>431</v>
      </c>
      <c r="S521" s="477"/>
      <c r="T521" s="481" t="s">
        <v>4785</v>
      </c>
      <c r="U521" s="482"/>
      <c r="V521" s="482"/>
      <c r="W521" s="483"/>
      <c r="X521" s="482"/>
      <c r="Y521" s="482"/>
      <c r="Z521" s="482"/>
      <c r="AA521" s="482"/>
      <c r="AB521" s="482"/>
      <c r="AC521" s="482"/>
      <c r="AD521" s="482"/>
      <c r="AE521" s="482"/>
      <c r="AF521" s="482"/>
      <c r="AG521" s="482"/>
      <c r="AH521" s="482"/>
      <c r="AI521" s="482"/>
      <c r="AJ521" s="482"/>
      <c r="AK521" s="482"/>
      <c r="AL521" s="482"/>
      <c r="AM521" s="482"/>
      <c r="AN521" s="482"/>
      <c r="AO521" s="482"/>
      <c r="AP521" s="482"/>
      <c r="AQ521" s="482"/>
      <c r="AR521" s="482"/>
      <c r="AS521" s="482"/>
      <c r="AT521" s="482"/>
      <c r="AU521" s="482"/>
      <c r="AV521" s="482"/>
      <c r="AW521" s="482"/>
      <c r="AX521" s="482"/>
      <c r="AY521" s="486" t="str">
        <f t="shared" si="27"/>
        <v/>
      </c>
      <c r="AZ521" s="487" t="str">
        <f t="shared" si="28"/>
        <v/>
      </c>
      <c r="BA521" s="482"/>
      <c r="BB521" s="482"/>
      <c r="BC521" s="482"/>
      <c r="BD521" s="482"/>
      <c r="BE521" s="482"/>
      <c r="BF521" s="482"/>
      <c r="BG521" s="482"/>
      <c r="BH521" s="482"/>
      <c r="BI521" s="482"/>
      <c r="BJ521" s="482"/>
      <c r="BK521" s="482"/>
      <c r="BL521" s="482"/>
      <c r="BM521" s="482"/>
      <c r="BN521" s="482"/>
      <c r="BO521" s="482"/>
      <c r="BP521" s="482"/>
      <c r="BQ521" s="482"/>
      <c r="BR521" s="482"/>
      <c r="BS521" s="482"/>
      <c r="BT521" s="482"/>
      <c r="BU521" s="482"/>
      <c r="BV521" s="482"/>
      <c r="BW521" s="482"/>
      <c r="BX521" s="482"/>
      <c r="BY521" s="482"/>
      <c r="BZ521" s="482"/>
      <c r="CA521" s="482"/>
      <c r="CB521" s="482"/>
      <c r="CC521" s="482"/>
      <c r="CD521" s="482"/>
      <c r="CE521" s="482"/>
      <c r="CF521" s="482"/>
      <c r="CG521" s="482"/>
      <c r="CH521" s="484"/>
    </row>
    <row r="522" spans="1:90" s="461" customFormat="1" ht="12" customHeight="1" x14ac:dyDescent="0.15">
      <c r="A522" s="522" t="s">
        <v>2227</v>
      </c>
      <c r="B522" s="467">
        <v>42525</v>
      </c>
      <c r="C522" s="468" t="s">
        <v>3756</v>
      </c>
      <c r="D522" s="468" t="s">
        <v>3757</v>
      </c>
      <c r="E522" s="468" t="s">
        <v>4349</v>
      </c>
      <c r="F522" s="468" t="s">
        <v>4171</v>
      </c>
      <c r="G522" s="466">
        <v>9</v>
      </c>
      <c r="H522" s="465">
        <v>6.5</v>
      </c>
      <c r="I522" s="466"/>
      <c r="J522" s="466"/>
      <c r="K522" s="466">
        <v>8</v>
      </c>
      <c r="L522" s="506">
        <v>8</v>
      </c>
      <c r="M522" s="463">
        <v>42000</v>
      </c>
      <c r="N522" s="468" t="s">
        <v>4578</v>
      </c>
      <c r="O522" s="466">
        <v>6</v>
      </c>
      <c r="P522" s="523">
        <v>-6.25</v>
      </c>
      <c r="Q522" s="462">
        <v>9.0798611111111115E-4</v>
      </c>
      <c r="R522" s="463">
        <v>200</v>
      </c>
      <c r="S522" s="466"/>
      <c r="T522" s="524"/>
      <c r="W522" s="460"/>
      <c r="AY522" s="486" t="str">
        <f t="shared" si="27"/>
        <v/>
      </c>
      <c r="AZ522" s="487" t="str">
        <f t="shared" si="28"/>
        <v/>
      </c>
      <c r="CH522" s="459"/>
    </row>
    <row r="523" spans="1:90" s="469" customFormat="1" ht="12" customHeight="1" x14ac:dyDescent="0.15">
      <c r="A523" s="471" t="s">
        <v>2164</v>
      </c>
      <c r="B523" s="472">
        <v>42525</v>
      </c>
      <c r="C523" s="471" t="s">
        <v>3701</v>
      </c>
      <c r="D523" s="471" t="s">
        <v>3702</v>
      </c>
      <c r="E523" s="471" t="s">
        <v>4949</v>
      </c>
      <c r="F523" s="471" t="s">
        <v>4171</v>
      </c>
      <c r="G523" s="473">
        <v>10</v>
      </c>
      <c r="H523" s="474">
        <v>7</v>
      </c>
      <c r="I523" s="475"/>
      <c r="J523" s="475"/>
      <c r="K523" s="473">
        <v>13</v>
      </c>
      <c r="L523" s="458">
        <v>20</v>
      </c>
      <c r="M523" s="476">
        <v>100000</v>
      </c>
      <c r="N523" s="471" t="s">
        <v>4889</v>
      </c>
      <c r="O523" s="477" t="s">
        <v>431</v>
      </c>
      <c r="P523" s="478" t="s">
        <v>431</v>
      </c>
      <c r="Q523" s="479" t="s">
        <v>431</v>
      </c>
      <c r="R523" s="480" t="s">
        <v>431</v>
      </c>
      <c r="S523" s="477"/>
      <c r="T523" s="481" t="s">
        <v>4785</v>
      </c>
      <c r="U523" s="482"/>
      <c r="V523" s="482"/>
      <c r="W523" s="483"/>
      <c r="X523" s="482"/>
      <c r="Y523" s="482"/>
      <c r="Z523" s="482"/>
      <c r="AA523" s="482"/>
      <c r="AB523" s="482"/>
      <c r="AC523" s="482"/>
      <c r="AD523" s="482"/>
      <c r="AE523" s="482"/>
      <c r="AF523" s="482"/>
      <c r="AG523" s="482"/>
      <c r="AH523" s="482"/>
      <c r="AI523" s="482"/>
      <c r="AJ523" s="482"/>
      <c r="AK523" s="482"/>
      <c r="AL523" s="482"/>
      <c r="AM523" s="482"/>
      <c r="AN523" s="482"/>
      <c r="AO523" s="482"/>
      <c r="AP523" s="482"/>
      <c r="AQ523" s="482"/>
      <c r="AR523" s="482"/>
      <c r="AS523" s="482"/>
      <c r="AT523" s="482"/>
      <c r="AU523" s="482"/>
      <c r="AV523" s="482"/>
      <c r="AW523" s="482"/>
      <c r="AX523" s="482"/>
      <c r="AY523" s="486" t="str">
        <f t="shared" si="27"/>
        <v/>
      </c>
      <c r="AZ523" s="487" t="str">
        <f t="shared" si="28"/>
        <v/>
      </c>
      <c r="BA523" s="482"/>
      <c r="BB523" s="482"/>
      <c r="BC523" s="482"/>
      <c r="BD523" s="482"/>
      <c r="BE523" s="482"/>
      <c r="BF523" s="482"/>
      <c r="BG523" s="482"/>
      <c r="BH523" s="482"/>
      <c r="BI523" s="482"/>
      <c r="BJ523" s="482"/>
      <c r="BK523" s="482"/>
      <c r="BL523" s="482"/>
      <c r="BM523" s="482"/>
      <c r="BN523" s="482"/>
      <c r="BO523" s="482"/>
      <c r="BP523" s="482"/>
      <c r="BQ523" s="482"/>
      <c r="BR523" s="482"/>
      <c r="BS523" s="482"/>
      <c r="BT523" s="482"/>
      <c r="BU523" s="482"/>
      <c r="BV523" s="482"/>
      <c r="BW523" s="482"/>
      <c r="BX523" s="482"/>
      <c r="BY523" s="482"/>
      <c r="BZ523" s="482"/>
      <c r="CA523" s="482"/>
      <c r="CB523" s="482"/>
      <c r="CC523" s="482"/>
      <c r="CD523" s="482"/>
      <c r="CE523" s="482"/>
      <c r="CF523" s="482"/>
      <c r="CG523" s="482"/>
      <c r="CH523" s="484"/>
    </row>
    <row r="524" spans="1:90" s="469" customFormat="1" ht="12" customHeight="1" x14ac:dyDescent="0.15">
      <c r="A524" s="471" t="s">
        <v>1816</v>
      </c>
      <c r="B524" s="472">
        <v>42525</v>
      </c>
      <c r="C524" s="471" t="s">
        <v>3704</v>
      </c>
      <c r="D524" s="471" t="s">
        <v>3705</v>
      </c>
      <c r="E524" s="471" t="s">
        <v>3188</v>
      </c>
      <c r="F524" s="471" t="s">
        <v>4171</v>
      </c>
      <c r="G524" s="473">
        <v>10</v>
      </c>
      <c r="H524" s="474">
        <v>7</v>
      </c>
      <c r="I524" s="475"/>
      <c r="J524" s="475"/>
      <c r="K524" s="473">
        <v>13</v>
      </c>
      <c r="L524" s="485" t="s">
        <v>431</v>
      </c>
      <c r="M524" s="476">
        <v>100000</v>
      </c>
      <c r="N524" s="471" t="s">
        <v>4889</v>
      </c>
      <c r="O524" s="477" t="s">
        <v>431</v>
      </c>
      <c r="P524" s="478" t="s">
        <v>431</v>
      </c>
      <c r="Q524" s="479" t="s">
        <v>431</v>
      </c>
      <c r="R524" s="480" t="s">
        <v>431</v>
      </c>
      <c r="S524" s="477"/>
      <c r="T524" s="481" t="s">
        <v>4110</v>
      </c>
      <c r="U524" s="482"/>
      <c r="V524" s="482"/>
      <c r="W524" s="483"/>
      <c r="X524" s="482"/>
      <c r="Y524" s="482"/>
      <c r="Z524" s="482"/>
      <c r="AA524" s="482"/>
      <c r="AB524" s="482"/>
      <c r="AC524" s="482"/>
      <c r="AD524" s="482"/>
      <c r="AE524" s="482"/>
      <c r="AF524" s="482"/>
      <c r="AG524" s="482"/>
      <c r="AH524" s="482"/>
      <c r="AI524" s="482"/>
      <c r="AJ524" s="482"/>
      <c r="AK524" s="482"/>
      <c r="AL524" s="482"/>
      <c r="AM524" s="482"/>
      <c r="AN524" s="482"/>
      <c r="AO524" s="482"/>
      <c r="AP524" s="482"/>
      <c r="AQ524" s="482"/>
      <c r="AR524" s="482"/>
      <c r="AS524" s="482"/>
      <c r="AT524" s="482"/>
      <c r="AU524" s="482"/>
      <c r="AV524" s="482"/>
      <c r="AW524" s="482"/>
      <c r="AX524" s="482"/>
      <c r="AY524" s="486" t="str">
        <f t="shared" si="27"/>
        <v/>
      </c>
      <c r="AZ524" s="487" t="str">
        <f t="shared" si="28"/>
        <v/>
      </c>
      <c r="BA524" s="482"/>
      <c r="BB524" s="482"/>
      <c r="BC524" s="482"/>
      <c r="BD524" s="482"/>
      <c r="BE524" s="482"/>
      <c r="BF524" s="482"/>
      <c r="BG524" s="482"/>
      <c r="BH524" s="482"/>
      <c r="BI524" s="482"/>
      <c r="BJ524" s="482"/>
      <c r="BK524" s="482"/>
      <c r="BL524" s="482"/>
      <c r="BM524" s="482"/>
      <c r="BN524" s="482"/>
      <c r="BO524" s="482"/>
      <c r="BP524" s="482"/>
      <c r="BQ524" s="482"/>
      <c r="BR524" s="482"/>
      <c r="BS524" s="482"/>
      <c r="BT524" s="482"/>
      <c r="BU524" s="482"/>
      <c r="BV524" s="482"/>
      <c r="BW524" s="482"/>
      <c r="BX524" s="482"/>
      <c r="BY524" s="482"/>
      <c r="BZ524" s="482"/>
      <c r="CA524" s="482"/>
      <c r="CB524" s="482"/>
      <c r="CC524" s="482"/>
      <c r="CD524" s="482"/>
      <c r="CE524" s="482"/>
      <c r="CF524" s="482"/>
      <c r="CG524" s="482"/>
      <c r="CH524" s="484"/>
    </row>
    <row r="525" spans="1:90" s="461" customFormat="1" ht="12" customHeight="1" x14ac:dyDescent="0.15">
      <c r="A525" s="522" t="s">
        <v>42</v>
      </c>
      <c r="B525" s="467">
        <v>42525</v>
      </c>
      <c r="C525" s="468" t="s">
        <v>3765</v>
      </c>
      <c r="D525" s="468" t="s">
        <v>3764</v>
      </c>
      <c r="E525" s="468" t="s">
        <v>4948</v>
      </c>
      <c r="F525" s="468" t="s">
        <v>775</v>
      </c>
      <c r="G525" s="466">
        <v>3</v>
      </c>
      <c r="H525" s="465">
        <v>8</v>
      </c>
      <c r="I525" s="466" t="s">
        <v>959</v>
      </c>
      <c r="J525" s="466" t="s">
        <v>4366</v>
      </c>
      <c r="K525" s="466">
        <v>5</v>
      </c>
      <c r="L525" s="506">
        <v>10</v>
      </c>
      <c r="M525" s="463">
        <v>24000</v>
      </c>
      <c r="N525" s="468" t="s">
        <v>4766</v>
      </c>
      <c r="O525" s="466">
        <v>3</v>
      </c>
      <c r="P525" s="523">
        <v>-2.25</v>
      </c>
      <c r="Q525" s="462">
        <v>1.2214120370370371E-3</v>
      </c>
      <c r="R525" s="463">
        <v>990</v>
      </c>
      <c r="S525" s="466"/>
      <c r="T525" s="524"/>
      <c r="W525" s="460"/>
      <c r="AY525" s="486" t="str">
        <f t="shared" si="27"/>
        <v/>
      </c>
      <c r="AZ525" s="487" t="str">
        <f t="shared" si="28"/>
        <v/>
      </c>
      <c r="CH525" s="459"/>
    </row>
    <row r="526" spans="1:90" s="469" customFormat="1" ht="12" customHeight="1" x14ac:dyDescent="0.15">
      <c r="A526" s="471" t="s">
        <v>57</v>
      </c>
      <c r="B526" s="472">
        <v>42526</v>
      </c>
      <c r="C526" s="471" t="s">
        <v>4472</v>
      </c>
      <c r="D526" s="471" t="s">
        <v>4300</v>
      </c>
      <c r="E526" s="471" t="s">
        <v>4713</v>
      </c>
      <c r="F526" s="471" t="s">
        <v>1153</v>
      </c>
      <c r="G526" s="473">
        <v>5</v>
      </c>
      <c r="H526" s="474">
        <v>5</v>
      </c>
      <c r="I526" s="475" t="s">
        <v>3730</v>
      </c>
      <c r="J526" s="475"/>
      <c r="K526" s="473">
        <v>10</v>
      </c>
      <c r="L526" s="458">
        <f>9/2</f>
        <v>4.5</v>
      </c>
      <c r="M526" s="476">
        <v>18000</v>
      </c>
      <c r="N526" s="471" t="s">
        <v>4924</v>
      </c>
      <c r="O526" s="477" t="s">
        <v>431</v>
      </c>
      <c r="P526" s="478" t="s">
        <v>431</v>
      </c>
      <c r="Q526" s="479" t="s">
        <v>431</v>
      </c>
      <c r="R526" s="480" t="s">
        <v>431</v>
      </c>
      <c r="S526" s="477"/>
      <c r="T526" s="481" t="s">
        <v>4785</v>
      </c>
      <c r="U526" s="482"/>
      <c r="V526" s="482"/>
      <c r="W526" s="483"/>
      <c r="X526" s="482"/>
      <c r="Y526" s="482"/>
      <c r="Z526" s="482"/>
      <c r="AA526" s="482"/>
      <c r="AB526" s="482"/>
      <c r="AC526" s="482"/>
      <c r="AD526" s="482"/>
      <c r="AE526" s="482"/>
      <c r="AF526" s="482"/>
      <c r="AG526" s="482"/>
      <c r="AH526" s="482"/>
      <c r="AI526" s="482"/>
      <c r="AJ526" s="482"/>
      <c r="AK526" s="482"/>
      <c r="AL526" s="482"/>
      <c r="AM526" s="482"/>
      <c r="AN526" s="482"/>
      <c r="AO526" s="482"/>
      <c r="AP526" s="482"/>
      <c r="AQ526" s="482"/>
      <c r="AR526" s="482"/>
      <c r="AS526" s="482"/>
      <c r="AT526" s="482"/>
      <c r="AU526" s="482"/>
      <c r="AV526" s="482"/>
      <c r="AW526" s="482"/>
      <c r="AX526" s="482"/>
      <c r="AY526" s="486" t="str">
        <f t="shared" si="27"/>
        <v/>
      </c>
      <c r="AZ526" s="487" t="str">
        <f t="shared" si="28"/>
        <v/>
      </c>
      <c r="BA526" s="482"/>
      <c r="BB526" s="482"/>
      <c r="BC526" s="482"/>
      <c r="BD526" s="482"/>
      <c r="BE526" s="482"/>
      <c r="BF526" s="482"/>
      <c r="BG526" s="482"/>
      <c r="BH526" s="482"/>
      <c r="BI526" s="482"/>
      <c r="BJ526" s="482"/>
      <c r="BK526" s="482"/>
      <c r="BL526" s="482"/>
      <c r="BM526" s="482"/>
      <c r="BN526" s="482"/>
      <c r="BO526" s="482"/>
      <c r="BP526" s="482"/>
      <c r="BQ526" s="482"/>
      <c r="BR526" s="482"/>
      <c r="BS526" s="482"/>
      <c r="BT526" s="482"/>
      <c r="BU526" s="482"/>
      <c r="BV526" s="482"/>
      <c r="BW526" s="482"/>
      <c r="BX526" s="482"/>
      <c r="BY526" s="482"/>
      <c r="BZ526" s="482"/>
      <c r="CA526" s="482"/>
      <c r="CB526" s="482"/>
      <c r="CC526" s="482"/>
      <c r="CD526" s="482"/>
      <c r="CE526" s="482"/>
      <c r="CF526" s="482"/>
      <c r="CG526" s="482"/>
      <c r="CH526" s="484"/>
    </row>
    <row r="527" spans="1:90" s="461" customFormat="1" ht="12" customHeight="1" x14ac:dyDescent="0.15">
      <c r="A527" s="522" t="s">
        <v>4700</v>
      </c>
      <c r="B527" s="467">
        <v>42526</v>
      </c>
      <c r="C527" s="468" t="s">
        <v>4701</v>
      </c>
      <c r="D527" s="468" t="s">
        <v>4702</v>
      </c>
      <c r="E527" s="468" t="s">
        <v>3957</v>
      </c>
      <c r="F527" s="468" t="s">
        <v>3685</v>
      </c>
      <c r="G527" s="466">
        <v>2</v>
      </c>
      <c r="H527" s="465">
        <v>6.5</v>
      </c>
      <c r="I527" s="466"/>
      <c r="J527" s="466" t="s">
        <v>4371</v>
      </c>
      <c r="K527" s="466">
        <v>9</v>
      </c>
      <c r="L527" s="464" t="s">
        <v>431</v>
      </c>
      <c r="M527" s="463">
        <v>3385</v>
      </c>
      <c r="N527" s="468" t="s">
        <v>3348</v>
      </c>
      <c r="O527" s="466">
        <v>2</v>
      </c>
      <c r="P527" s="523">
        <v>-2.25</v>
      </c>
      <c r="Q527" s="462">
        <v>9.2326388888888883E-4</v>
      </c>
      <c r="R527" s="463">
        <v>714</v>
      </c>
      <c r="S527" s="466" t="s">
        <v>625</v>
      </c>
      <c r="T527" s="524"/>
      <c r="W527" s="460"/>
      <c r="AY527" s="486">
        <f t="shared" si="27"/>
        <v>714</v>
      </c>
      <c r="AZ527" s="487" t="str">
        <f t="shared" si="28"/>
        <v/>
      </c>
      <c r="CH527" s="459"/>
    </row>
    <row r="528" spans="1:90" s="461" customFormat="1" ht="12" customHeight="1" x14ac:dyDescent="0.15">
      <c r="A528" s="522" t="s">
        <v>2151</v>
      </c>
      <c r="B528" s="467">
        <v>42526</v>
      </c>
      <c r="C528" s="468" t="s">
        <v>3852</v>
      </c>
      <c r="D528" s="468" t="s">
        <v>3853</v>
      </c>
      <c r="E528" s="468" t="s">
        <v>4628</v>
      </c>
      <c r="F528" s="468" t="s">
        <v>4171</v>
      </c>
      <c r="G528" s="466">
        <v>8</v>
      </c>
      <c r="H528" s="465">
        <v>8.3000000000000007</v>
      </c>
      <c r="I528" s="466"/>
      <c r="J528" s="466"/>
      <c r="K528" s="466">
        <v>10</v>
      </c>
      <c r="L528" s="525">
        <v>10</v>
      </c>
      <c r="M528" s="463">
        <v>42000</v>
      </c>
      <c r="N528" s="468" t="s">
        <v>4578</v>
      </c>
      <c r="O528" s="466">
        <v>6</v>
      </c>
      <c r="P528" s="523">
        <v>-11.75</v>
      </c>
      <c r="Q528" s="462">
        <v>1.2043981481481482E-3</v>
      </c>
      <c r="R528" s="463">
        <v>200</v>
      </c>
      <c r="S528" s="466"/>
      <c r="T528" s="524"/>
      <c r="W528" s="460"/>
      <c r="AY528" s="486" t="str">
        <f t="shared" si="27"/>
        <v/>
      </c>
      <c r="AZ528" s="487" t="str">
        <f t="shared" si="28"/>
        <v/>
      </c>
      <c r="CH528" s="459"/>
    </row>
    <row r="529" spans="1:90" s="461" customFormat="1" ht="12" customHeight="1" x14ac:dyDescent="0.15">
      <c r="A529" s="522" t="s">
        <v>3339</v>
      </c>
      <c r="B529" s="467">
        <v>42526</v>
      </c>
      <c r="C529" s="468" t="s">
        <v>3704</v>
      </c>
      <c r="D529" s="468" t="s">
        <v>3705</v>
      </c>
      <c r="E529" s="468" t="s">
        <v>3786</v>
      </c>
      <c r="F529" s="468" t="s">
        <v>4171</v>
      </c>
      <c r="G529" s="466">
        <v>8</v>
      </c>
      <c r="H529" s="465">
        <v>8.3000000000000007</v>
      </c>
      <c r="I529" s="466"/>
      <c r="J529" s="466"/>
      <c r="K529" s="466">
        <v>10</v>
      </c>
      <c r="L529" s="525">
        <f>7/2</f>
        <v>3.5</v>
      </c>
      <c r="M529" s="463">
        <v>42000</v>
      </c>
      <c r="N529" s="468" t="s">
        <v>4578</v>
      </c>
      <c r="O529" s="466">
        <v>7</v>
      </c>
      <c r="P529" s="523">
        <v>-12</v>
      </c>
      <c r="Q529" s="462">
        <v>1.2043981481481482E-3</v>
      </c>
      <c r="R529" s="463">
        <v>200</v>
      </c>
      <c r="S529" s="466"/>
      <c r="T529" s="524"/>
      <c r="W529" s="460"/>
      <c r="AY529" s="486" t="str">
        <f>IF(S529="","",R529)</f>
        <v/>
      </c>
      <c r="AZ529" s="487" t="str">
        <f>IF(F529="Pleasant Meadows","",IF(L529="","",IF(O529="--","",IF(O529=1,1,""))))</f>
        <v/>
      </c>
      <c r="CH529" s="459"/>
    </row>
    <row r="530" spans="1:90" s="461" customFormat="1" ht="12" customHeight="1" x14ac:dyDescent="0.15">
      <c r="A530" s="522" t="s">
        <v>3333</v>
      </c>
      <c r="B530" s="467">
        <v>42526</v>
      </c>
      <c r="C530" s="468" t="s">
        <v>4956</v>
      </c>
      <c r="D530" s="468" t="s">
        <v>4957</v>
      </c>
      <c r="E530" s="468" t="s">
        <v>4978</v>
      </c>
      <c r="F530" s="468" t="s">
        <v>5049</v>
      </c>
      <c r="G530" s="466">
        <v>4</v>
      </c>
      <c r="H530" s="465">
        <v>6.5</v>
      </c>
      <c r="I530" s="466" t="s">
        <v>3730</v>
      </c>
      <c r="J530" s="466"/>
      <c r="K530" s="466">
        <v>14</v>
      </c>
      <c r="L530" s="525">
        <v>8</v>
      </c>
      <c r="M530" s="463">
        <v>25097</v>
      </c>
      <c r="N530" s="468" t="s">
        <v>4597</v>
      </c>
      <c r="O530" s="466">
        <v>2</v>
      </c>
      <c r="P530" s="555" t="s">
        <v>4111</v>
      </c>
      <c r="Q530" s="462">
        <v>8.8576388888888895E-4</v>
      </c>
      <c r="R530" s="463">
        <v>6105</v>
      </c>
      <c r="S530" s="466"/>
      <c r="T530" s="524"/>
      <c r="W530" s="460"/>
      <c r="AY530" s="486" t="str">
        <f t="shared" si="27"/>
        <v/>
      </c>
      <c r="AZ530" s="487" t="str">
        <f t="shared" si="28"/>
        <v/>
      </c>
      <c r="CH530" s="459"/>
    </row>
    <row r="531" spans="1:90" s="461" customFormat="1" ht="12" customHeight="1" x14ac:dyDescent="0.15">
      <c r="A531" s="522" t="s">
        <v>3204</v>
      </c>
      <c r="B531" s="467">
        <v>42526</v>
      </c>
      <c r="C531" s="468" t="s">
        <v>3633</v>
      </c>
      <c r="D531" s="468" t="s">
        <v>3295</v>
      </c>
      <c r="E531" s="468" t="s">
        <v>4979</v>
      </c>
      <c r="F531" s="468" t="s">
        <v>1153</v>
      </c>
      <c r="G531" s="466">
        <v>1</v>
      </c>
      <c r="H531" s="465">
        <v>5</v>
      </c>
      <c r="I531" s="466" t="s">
        <v>3730</v>
      </c>
      <c r="J531" s="466"/>
      <c r="K531" s="466">
        <v>8</v>
      </c>
      <c r="L531" s="525">
        <v>20</v>
      </c>
      <c r="M531" s="463">
        <v>22000</v>
      </c>
      <c r="N531" s="468" t="s">
        <v>4720</v>
      </c>
      <c r="O531" s="466">
        <v>6</v>
      </c>
      <c r="P531" s="523">
        <v>-7</v>
      </c>
      <c r="Q531" s="462">
        <v>6.6678240740740728E-4</v>
      </c>
      <c r="R531" s="463">
        <v>0</v>
      </c>
      <c r="S531" s="466"/>
      <c r="T531" s="524"/>
      <c r="W531" s="460"/>
      <c r="AY531" s="486" t="str">
        <f t="shared" ref="AY531:AY540" si="29">IF(S531="","",R531)</f>
        <v/>
      </c>
      <c r="AZ531" s="487" t="str">
        <f t="shared" ref="AZ531:AZ540" si="30">IF(F531="Pleasant Meadows","",IF(L531="","",IF(O531="--","",IF(O531=1,1,""))))</f>
        <v/>
      </c>
      <c r="CH531" s="459"/>
    </row>
    <row r="532" spans="1:90" s="461" customFormat="1" ht="12" customHeight="1" x14ac:dyDescent="0.15">
      <c r="A532" s="522" t="s">
        <v>1897</v>
      </c>
      <c r="B532" s="467">
        <v>42526</v>
      </c>
      <c r="C532" s="468" t="s">
        <v>424</v>
      </c>
      <c r="D532" s="468" t="s">
        <v>4095</v>
      </c>
      <c r="E532" s="468" t="s">
        <v>3930</v>
      </c>
      <c r="F532" s="468" t="s">
        <v>3300</v>
      </c>
      <c r="G532" s="466">
        <v>3</v>
      </c>
      <c r="H532" s="465">
        <v>5.5</v>
      </c>
      <c r="I532" s="466" t="s">
        <v>3730</v>
      </c>
      <c r="J532" s="466"/>
      <c r="K532" s="466">
        <v>10</v>
      </c>
      <c r="L532" s="525">
        <f>5/2</f>
        <v>2.5</v>
      </c>
      <c r="M532" s="463">
        <v>18500</v>
      </c>
      <c r="N532" s="468" t="s">
        <v>4720</v>
      </c>
      <c r="O532" s="466">
        <v>7</v>
      </c>
      <c r="P532" s="523">
        <v>-3</v>
      </c>
      <c r="Q532" s="462">
        <v>7.2951388888888892E-4</v>
      </c>
      <c r="R532" s="463">
        <v>300</v>
      </c>
      <c r="S532" s="466"/>
      <c r="T532" s="524" t="s">
        <v>3755</v>
      </c>
      <c r="W532" s="460"/>
      <c r="AY532" s="486" t="str">
        <f t="shared" si="29"/>
        <v/>
      </c>
      <c r="AZ532" s="487" t="str">
        <f t="shared" si="30"/>
        <v/>
      </c>
      <c r="CH532" s="459"/>
    </row>
    <row r="533" spans="1:90" s="461" customFormat="1" ht="12" customHeight="1" x14ac:dyDescent="0.15">
      <c r="A533" s="522" t="s">
        <v>121</v>
      </c>
      <c r="B533" s="467">
        <v>42526</v>
      </c>
      <c r="C533" s="468" t="s">
        <v>4959</v>
      </c>
      <c r="D533" s="468" t="s">
        <v>4970</v>
      </c>
      <c r="E533" s="468" t="s">
        <v>4980</v>
      </c>
      <c r="F533" s="468" t="s">
        <v>1162</v>
      </c>
      <c r="G533" s="466">
        <v>8</v>
      </c>
      <c r="H533" s="465">
        <v>8.5</v>
      </c>
      <c r="I533" s="466" t="s">
        <v>1360</v>
      </c>
      <c r="J533" s="466"/>
      <c r="K533" s="466">
        <v>7</v>
      </c>
      <c r="L533" s="525">
        <v>15</v>
      </c>
      <c r="M533" s="463">
        <v>14500</v>
      </c>
      <c r="N533" s="468" t="s">
        <v>4910</v>
      </c>
      <c r="O533" s="466">
        <v>5</v>
      </c>
      <c r="P533" s="523">
        <v>-9</v>
      </c>
      <c r="Q533" s="462">
        <v>1.2149305555555555E-3</v>
      </c>
      <c r="R533" s="463">
        <v>435</v>
      </c>
      <c r="S533" s="466"/>
      <c r="T533" s="524" t="s">
        <v>4982</v>
      </c>
      <c r="W533" s="460"/>
      <c r="AY533" s="486" t="str">
        <f t="shared" si="29"/>
        <v/>
      </c>
      <c r="AZ533" s="487" t="str">
        <f t="shared" si="30"/>
        <v/>
      </c>
      <c r="CH533" s="459"/>
    </row>
    <row r="534" spans="1:90" s="461" customFormat="1" ht="12" customHeight="1" x14ac:dyDescent="0.15">
      <c r="A534" s="522" t="s">
        <v>4206</v>
      </c>
      <c r="B534" s="467">
        <v>42526</v>
      </c>
      <c r="C534" s="468" t="s">
        <v>3951</v>
      </c>
      <c r="D534" s="468" t="s">
        <v>4207</v>
      </c>
      <c r="E534" s="468" t="s">
        <v>4437</v>
      </c>
      <c r="F534" s="468" t="s">
        <v>4070</v>
      </c>
      <c r="G534" s="466">
        <v>4</v>
      </c>
      <c r="H534" s="465">
        <v>3.5</v>
      </c>
      <c r="I534" s="466"/>
      <c r="J534" s="466"/>
      <c r="K534" s="466">
        <v>9</v>
      </c>
      <c r="L534" s="464" t="s">
        <v>431</v>
      </c>
      <c r="M534" s="463">
        <v>1236</v>
      </c>
      <c r="N534" s="468" t="s">
        <v>4007</v>
      </c>
      <c r="O534" s="466">
        <v>4</v>
      </c>
      <c r="P534" s="523">
        <v>-2.5</v>
      </c>
      <c r="Q534" s="462">
        <v>4.8530092592592592E-4</v>
      </c>
      <c r="R534" s="463">
        <v>30</v>
      </c>
      <c r="S534" s="466" t="s">
        <v>625</v>
      </c>
      <c r="T534" s="524"/>
      <c r="W534" s="460"/>
      <c r="AY534" s="486">
        <f t="shared" si="29"/>
        <v>30</v>
      </c>
      <c r="AZ534" s="487" t="str">
        <f t="shared" si="30"/>
        <v/>
      </c>
      <c r="CH534" s="459"/>
    </row>
    <row r="535" spans="1:90" s="469" customFormat="1" ht="12" customHeight="1" x14ac:dyDescent="0.15">
      <c r="A535" s="471" t="s">
        <v>1831</v>
      </c>
      <c r="B535" s="472">
        <v>42527</v>
      </c>
      <c r="C535" s="471" t="s">
        <v>4975</v>
      </c>
      <c r="D535" s="471" t="s">
        <v>4968</v>
      </c>
      <c r="E535" s="471" t="s">
        <v>1623</v>
      </c>
      <c r="F535" s="471" t="s">
        <v>4171</v>
      </c>
      <c r="G535" s="473">
        <v>6</v>
      </c>
      <c r="H535" s="474">
        <v>8.5</v>
      </c>
      <c r="I535" s="475" t="s">
        <v>3730</v>
      </c>
      <c r="J535" s="475"/>
      <c r="K535" s="473">
        <v>12</v>
      </c>
      <c r="L535" s="458">
        <v>10</v>
      </c>
      <c r="M535" s="476">
        <v>39000</v>
      </c>
      <c r="N535" s="471" t="s">
        <v>4983</v>
      </c>
      <c r="O535" s="477" t="s">
        <v>431</v>
      </c>
      <c r="P535" s="478" t="s">
        <v>431</v>
      </c>
      <c r="Q535" s="479" t="s">
        <v>431</v>
      </c>
      <c r="R535" s="480" t="s">
        <v>431</v>
      </c>
      <c r="S535" s="477"/>
      <c r="T535" s="481" t="s">
        <v>4984</v>
      </c>
      <c r="U535" s="482"/>
      <c r="V535" s="482"/>
      <c r="W535" s="483"/>
      <c r="X535" s="482"/>
      <c r="Y535" s="482"/>
      <c r="Z535" s="482"/>
      <c r="AA535" s="482"/>
      <c r="AB535" s="482"/>
      <c r="AC535" s="482"/>
      <c r="AD535" s="482"/>
      <c r="AE535" s="482"/>
      <c r="AF535" s="482"/>
      <c r="AG535" s="482"/>
      <c r="AH535" s="482"/>
      <c r="AI535" s="482"/>
      <c r="AJ535" s="482"/>
      <c r="AK535" s="482"/>
      <c r="AL535" s="482"/>
      <c r="AM535" s="482"/>
      <c r="AN535" s="482"/>
      <c r="AO535" s="482"/>
      <c r="AP535" s="482"/>
      <c r="AQ535" s="482"/>
      <c r="AR535" s="482"/>
      <c r="AS535" s="482"/>
      <c r="AT535" s="482"/>
      <c r="AU535" s="482"/>
      <c r="AV535" s="482"/>
      <c r="AW535" s="482"/>
      <c r="AX535" s="482"/>
      <c r="AY535" s="486" t="str">
        <f t="shared" si="29"/>
        <v/>
      </c>
      <c r="AZ535" s="487" t="str">
        <f t="shared" si="30"/>
        <v/>
      </c>
      <c r="BA535" s="482"/>
      <c r="BB535" s="482"/>
      <c r="BC535" s="482"/>
      <c r="BD535" s="482"/>
      <c r="BE535" s="482"/>
      <c r="BF535" s="482"/>
      <c r="BG535" s="482"/>
      <c r="BH535" s="482"/>
      <c r="BI535" s="482"/>
      <c r="BJ535" s="482"/>
      <c r="BK535" s="482"/>
      <c r="BL535" s="482"/>
      <c r="BM535" s="482"/>
      <c r="BN535" s="482"/>
      <c r="BO535" s="482"/>
      <c r="BP535" s="482"/>
      <c r="BQ535" s="482"/>
      <c r="BR535" s="482"/>
      <c r="BS535" s="482"/>
      <c r="BT535" s="482"/>
      <c r="BU535" s="482"/>
      <c r="BV535" s="482"/>
      <c r="BW535" s="482"/>
      <c r="BX535" s="482"/>
      <c r="BY535" s="482"/>
      <c r="BZ535" s="482"/>
      <c r="CA535" s="482"/>
      <c r="CB535" s="482"/>
      <c r="CC535" s="482"/>
      <c r="CD535" s="482"/>
      <c r="CE535" s="482"/>
      <c r="CF535" s="482"/>
      <c r="CG535" s="482"/>
      <c r="CH535" s="484"/>
    </row>
    <row r="536" spans="1:90" s="469" customFormat="1" ht="12" customHeight="1" x14ac:dyDescent="0.15">
      <c r="A536" s="471" t="s">
        <v>2164</v>
      </c>
      <c r="B536" s="472">
        <v>42527</v>
      </c>
      <c r="C536" s="471" t="s">
        <v>3701</v>
      </c>
      <c r="D536" s="471" t="s">
        <v>3702</v>
      </c>
      <c r="E536" s="471" t="s">
        <v>3796</v>
      </c>
      <c r="F536" s="471" t="s">
        <v>4171</v>
      </c>
      <c r="G536" s="473">
        <v>7</v>
      </c>
      <c r="H536" s="474">
        <v>6</v>
      </c>
      <c r="I536" s="475"/>
      <c r="J536" s="475"/>
      <c r="K536" s="473">
        <v>9</v>
      </c>
      <c r="L536" s="458">
        <v>12</v>
      </c>
      <c r="M536" s="476">
        <v>42000</v>
      </c>
      <c r="N536" s="471" t="s">
        <v>4578</v>
      </c>
      <c r="O536" s="477" t="s">
        <v>431</v>
      </c>
      <c r="P536" s="478" t="s">
        <v>431</v>
      </c>
      <c r="Q536" s="479" t="s">
        <v>431</v>
      </c>
      <c r="R536" s="480" t="s">
        <v>431</v>
      </c>
      <c r="S536" s="477"/>
      <c r="T536" s="481"/>
      <c r="U536" s="482"/>
      <c r="V536" s="482"/>
      <c r="W536" s="483"/>
      <c r="X536" s="482"/>
      <c r="Y536" s="482"/>
      <c r="Z536" s="482"/>
      <c r="AA536" s="482"/>
      <c r="AB536" s="482"/>
      <c r="AC536" s="482"/>
      <c r="AD536" s="482"/>
      <c r="AE536" s="482"/>
      <c r="AF536" s="482"/>
      <c r="AG536" s="482"/>
      <c r="AH536" s="482"/>
      <c r="AI536" s="482"/>
      <c r="AJ536" s="482"/>
      <c r="AK536" s="482"/>
      <c r="AL536" s="482"/>
      <c r="AM536" s="482"/>
      <c r="AN536" s="482"/>
      <c r="AO536" s="482"/>
      <c r="AP536" s="482"/>
      <c r="AQ536" s="482"/>
      <c r="AR536" s="482"/>
      <c r="AS536" s="482"/>
      <c r="AT536" s="482"/>
      <c r="AU536" s="482"/>
      <c r="AV536" s="482"/>
      <c r="AW536" s="482"/>
      <c r="AX536" s="482"/>
      <c r="AY536" s="486" t="str">
        <f t="shared" si="29"/>
        <v/>
      </c>
      <c r="AZ536" s="487" t="str">
        <f t="shared" si="30"/>
        <v/>
      </c>
      <c r="BA536" s="482"/>
      <c r="BB536" s="482"/>
      <c r="BC536" s="482"/>
      <c r="BD536" s="482"/>
      <c r="BE536" s="482"/>
      <c r="BF536" s="482"/>
      <c r="BG536" s="482"/>
      <c r="BH536" s="482"/>
      <c r="BI536" s="482"/>
      <c r="BJ536" s="482"/>
      <c r="BK536" s="482"/>
      <c r="BL536" s="482"/>
      <c r="BM536" s="482"/>
      <c r="BN536" s="482"/>
      <c r="BO536" s="482"/>
      <c r="BP536" s="482"/>
      <c r="BQ536" s="482"/>
      <c r="BR536" s="482"/>
      <c r="BS536" s="482"/>
      <c r="BT536" s="482"/>
      <c r="BU536" s="482"/>
      <c r="BV536" s="482"/>
      <c r="BW536" s="482"/>
      <c r="BX536" s="482"/>
      <c r="BY536" s="482"/>
      <c r="BZ536" s="482"/>
      <c r="CA536" s="482"/>
      <c r="CB536" s="482"/>
      <c r="CC536" s="482"/>
      <c r="CD536" s="482"/>
      <c r="CE536" s="482"/>
      <c r="CF536" s="482"/>
      <c r="CG536" s="482"/>
      <c r="CH536" s="484"/>
    </row>
    <row r="537" spans="1:90" s="461" customFormat="1" ht="12" customHeight="1" x14ac:dyDescent="0.15">
      <c r="A537" s="522" t="s">
        <v>1666</v>
      </c>
      <c r="B537" s="467">
        <v>42527</v>
      </c>
      <c r="C537" s="468" t="s">
        <v>4846</v>
      </c>
      <c r="D537" s="468" t="s">
        <v>4826</v>
      </c>
      <c r="E537" s="468" t="s">
        <v>4981</v>
      </c>
      <c r="F537" s="468" t="s">
        <v>1164</v>
      </c>
      <c r="G537" s="466">
        <v>9</v>
      </c>
      <c r="H537" s="465">
        <v>6</v>
      </c>
      <c r="I537" s="466"/>
      <c r="J537" s="466"/>
      <c r="K537" s="466">
        <v>8</v>
      </c>
      <c r="L537" s="506">
        <v>10</v>
      </c>
      <c r="M537" s="463">
        <v>50000</v>
      </c>
      <c r="N537" s="468" t="s">
        <v>4887</v>
      </c>
      <c r="O537" s="466">
        <v>2</v>
      </c>
      <c r="P537" s="523">
        <v>-0.75</v>
      </c>
      <c r="Q537" s="462">
        <v>8.1956018518518521E-4</v>
      </c>
      <c r="R537" s="463">
        <v>10000</v>
      </c>
      <c r="S537" s="466"/>
      <c r="T537" s="524" t="s">
        <v>4798</v>
      </c>
      <c r="W537" s="460"/>
      <c r="AY537" s="486" t="str">
        <f t="shared" si="29"/>
        <v/>
      </c>
      <c r="AZ537" s="487" t="str">
        <f t="shared" si="30"/>
        <v/>
      </c>
      <c r="CH537" s="459"/>
    </row>
    <row r="538" spans="1:90" s="461" customFormat="1" ht="12" customHeight="1" x14ac:dyDescent="0.15">
      <c r="A538" s="522" t="s">
        <v>2364</v>
      </c>
      <c r="B538" s="467">
        <v>42527</v>
      </c>
      <c r="C538" s="468" t="s">
        <v>3922</v>
      </c>
      <c r="D538" s="468" t="s">
        <v>3923</v>
      </c>
      <c r="E538" s="468" t="s">
        <v>3924</v>
      </c>
      <c r="F538" s="468" t="s">
        <v>4828</v>
      </c>
      <c r="G538" s="466">
        <v>3</v>
      </c>
      <c r="H538" s="465">
        <v>6</v>
      </c>
      <c r="I538" s="466" t="s">
        <v>1360</v>
      </c>
      <c r="J538" s="466"/>
      <c r="K538" s="466">
        <v>6</v>
      </c>
      <c r="L538" s="506">
        <v>8</v>
      </c>
      <c r="M538" s="463">
        <v>28000</v>
      </c>
      <c r="N538" s="468" t="s">
        <v>4578</v>
      </c>
      <c r="O538" s="466">
        <v>3</v>
      </c>
      <c r="P538" s="523">
        <v>-6</v>
      </c>
      <c r="Q538" s="462">
        <v>7.4062499999999996E-4</v>
      </c>
      <c r="R538" s="463">
        <v>2800</v>
      </c>
      <c r="S538" s="466"/>
      <c r="T538" s="524"/>
      <c r="W538" s="460"/>
      <c r="AY538" s="486" t="str">
        <f t="shared" si="29"/>
        <v/>
      </c>
      <c r="AZ538" s="487" t="str">
        <f t="shared" si="30"/>
        <v/>
      </c>
      <c r="CH538" s="459"/>
    </row>
    <row r="539" spans="1:90" s="469" customFormat="1" ht="12" customHeight="1" x14ac:dyDescent="0.15">
      <c r="A539" s="444" t="s">
        <v>1831</v>
      </c>
      <c r="B539" s="445">
        <v>42528</v>
      </c>
      <c r="C539" s="446" t="s">
        <v>4975</v>
      </c>
      <c r="D539" s="446" t="s">
        <v>4968</v>
      </c>
      <c r="E539" s="446" t="s">
        <v>4971</v>
      </c>
      <c r="F539" s="446" t="s">
        <v>4171</v>
      </c>
      <c r="G539" s="447">
        <v>6</v>
      </c>
      <c r="H539" s="448">
        <v>8</v>
      </c>
      <c r="I539" s="447"/>
      <c r="J539" s="447"/>
      <c r="K539" s="447">
        <v>7</v>
      </c>
      <c r="L539" s="449">
        <f>7/2</f>
        <v>3.5</v>
      </c>
      <c r="M539" s="450">
        <v>30000</v>
      </c>
      <c r="N539" s="446" t="s">
        <v>4720</v>
      </c>
      <c r="O539" s="447">
        <v>1</v>
      </c>
      <c r="P539" s="451">
        <v>4.75</v>
      </c>
      <c r="Q539" s="452">
        <v>1.1501157407407406E-3</v>
      </c>
      <c r="R539" s="450">
        <v>25200</v>
      </c>
      <c r="S539" s="447"/>
      <c r="T539" s="453" t="s">
        <v>4996</v>
      </c>
      <c r="U539" s="454"/>
      <c r="V539" s="454"/>
      <c r="W539" s="455"/>
      <c r="X539" s="454"/>
      <c r="Y539" s="454"/>
      <c r="Z539" s="454"/>
      <c r="AA539" s="454"/>
      <c r="AB539" s="454"/>
      <c r="AC539" s="454"/>
      <c r="AD539" s="454"/>
      <c r="AE539" s="454"/>
      <c r="AF539" s="454"/>
      <c r="AG539" s="454"/>
      <c r="AH539" s="454"/>
      <c r="AI539" s="454"/>
      <c r="AJ539" s="454"/>
      <c r="AK539" s="454"/>
      <c r="AL539" s="454"/>
      <c r="AM539" s="454"/>
      <c r="AN539" s="454"/>
      <c r="AO539" s="454"/>
      <c r="AP539" s="454"/>
      <c r="AQ539" s="454"/>
      <c r="AR539" s="454"/>
      <c r="AS539" s="454"/>
      <c r="AT539" s="454"/>
      <c r="AU539" s="454"/>
      <c r="AV539" s="454"/>
      <c r="AW539" s="454"/>
      <c r="AX539" s="454"/>
      <c r="AY539" s="486" t="str">
        <f t="shared" si="29"/>
        <v/>
      </c>
      <c r="AZ539" s="487">
        <f t="shared" si="30"/>
        <v>1</v>
      </c>
      <c r="BA539" s="454"/>
      <c r="BB539" s="454"/>
      <c r="BC539" s="454"/>
      <c r="BD539" s="454"/>
      <c r="BE539" s="454"/>
      <c r="BF539" s="454"/>
      <c r="BG539" s="454"/>
      <c r="BH539" s="454"/>
      <c r="BI539" s="454"/>
      <c r="BJ539" s="454"/>
      <c r="BK539" s="454"/>
      <c r="BL539" s="454"/>
      <c r="BM539" s="454"/>
      <c r="BN539" s="454"/>
      <c r="BO539" s="454"/>
      <c r="BP539" s="454"/>
      <c r="BQ539" s="454"/>
      <c r="BR539" s="454"/>
      <c r="BS539" s="454"/>
      <c r="BT539" s="454"/>
      <c r="BU539" s="454"/>
      <c r="BV539" s="454"/>
      <c r="BW539" s="454"/>
      <c r="BX539" s="454"/>
      <c r="BY539" s="454"/>
      <c r="BZ539" s="454"/>
      <c r="CA539" s="454"/>
      <c r="CB539" s="454"/>
      <c r="CC539" s="454"/>
      <c r="CD539" s="454"/>
      <c r="CE539" s="454"/>
      <c r="CF539" s="454"/>
      <c r="CG539" s="454"/>
      <c r="CH539" s="456"/>
      <c r="CI539" s="454"/>
      <c r="CJ539" s="454"/>
      <c r="CK539" s="454"/>
      <c r="CL539" s="454"/>
    </row>
    <row r="540" spans="1:90" s="469" customFormat="1" ht="12" customHeight="1" x14ac:dyDescent="0.15">
      <c r="A540" s="444" t="s">
        <v>1295</v>
      </c>
      <c r="B540" s="445">
        <v>42529</v>
      </c>
      <c r="C540" s="446" t="s">
        <v>646</v>
      </c>
      <c r="D540" s="446" t="s">
        <v>3751</v>
      </c>
      <c r="E540" s="446" t="s">
        <v>4666</v>
      </c>
      <c r="F540" s="446" t="s">
        <v>881</v>
      </c>
      <c r="G540" s="447">
        <v>7</v>
      </c>
      <c r="H540" s="448">
        <v>9</v>
      </c>
      <c r="I540" s="447" t="s">
        <v>959</v>
      </c>
      <c r="J540" s="447" t="s">
        <v>961</v>
      </c>
      <c r="K540" s="447">
        <v>4</v>
      </c>
      <c r="L540" s="449">
        <v>4</v>
      </c>
      <c r="M540" s="450">
        <v>40000</v>
      </c>
      <c r="N540" s="446" t="s">
        <v>4985</v>
      </c>
      <c r="O540" s="447">
        <v>1</v>
      </c>
      <c r="P540" s="451">
        <v>6</v>
      </c>
      <c r="Q540" s="452">
        <v>1.3270833333333335E-3</v>
      </c>
      <c r="R540" s="450">
        <v>24000</v>
      </c>
      <c r="S540" s="447"/>
      <c r="T540" s="453" t="s">
        <v>4997</v>
      </c>
      <c r="U540" s="454"/>
      <c r="V540" s="454"/>
      <c r="W540" s="455"/>
      <c r="X540" s="454"/>
      <c r="Y540" s="454"/>
      <c r="Z540" s="454"/>
      <c r="AA540" s="454"/>
      <c r="AB540" s="454"/>
      <c r="AC540" s="454"/>
      <c r="AD540" s="454"/>
      <c r="AE540" s="454"/>
      <c r="AF540" s="454"/>
      <c r="AG540" s="454"/>
      <c r="AH540" s="454"/>
      <c r="AI540" s="454"/>
      <c r="AJ540" s="454"/>
      <c r="AK540" s="454"/>
      <c r="AL540" s="454"/>
      <c r="AM540" s="454"/>
      <c r="AN540" s="454"/>
      <c r="AO540" s="454"/>
      <c r="AP540" s="454"/>
      <c r="AQ540" s="454"/>
      <c r="AR540" s="454"/>
      <c r="AS540" s="454"/>
      <c r="AT540" s="454"/>
      <c r="AU540" s="454"/>
      <c r="AV540" s="454"/>
      <c r="AW540" s="454"/>
      <c r="AX540" s="454"/>
      <c r="AY540" s="486" t="str">
        <f t="shared" si="29"/>
        <v/>
      </c>
      <c r="AZ540" s="487">
        <f t="shared" si="30"/>
        <v>1</v>
      </c>
      <c r="BA540" s="454"/>
      <c r="BB540" s="454"/>
      <c r="BC540" s="454"/>
      <c r="BD540" s="454"/>
      <c r="BE540" s="454"/>
      <c r="BF540" s="454"/>
      <c r="BG540" s="454"/>
      <c r="BH540" s="454"/>
      <c r="BI540" s="454"/>
      <c r="BJ540" s="454"/>
      <c r="BK540" s="454"/>
      <c r="BL540" s="454"/>
      <c r="BM540" s="454"/>
      <c r="BN540" s="454"/>
      <c r="BO540" s="454"/>
      <c r="BP540" s="454"/>
      <c r="BQ540" s="454"/>
      <c r="BR540" s="454"/>
      <c r="BS540" s="454"/>
      <c r="BT540" s="454"/>
      <c r="BU540" s="454"/>
      <c r="BV540" s="454"/>
      <c r="BW540" s="454"/>
      <c r="BX540" s="454"/>
      <c r="BY540" s="454"/>
      <c r="BZ540" s="454"/>
      <c r="CA540" s="454"/>
      <c r="CB540" s="454"/>
      <c r="CC540" s="454"/>
      <c r="CD540" s="454"/>
      <c r="CE540" s="454"/>
      <c r="CF540" s="454"/>
      <c r="CG540" s="454"/>
      <c r="CH540" s="456"/>
      <c r="CI540" s="454"/>
      <c r="CJ540" s="454"/>
      <c r="CK540" s="454"/>
      <c r="CL540" s="454"/>
    </row>
    <row r="541" spans="1:90" s="461" customFormat="1" ht="12" customHeight="1" x14ac:dyDescent="0.15">
      <c r="A541" s="522" t="s">
        <v>2278</v>
      </c>
      <c r="B541" s="467">
        <v>42529</v>
      </c>
      <c r="C541" s="468" t="s">
        <v>4747</v>
      </c>
      <c r="D541" s="468" t="s">
        <v>4742</v>
      </c>
      <c r="E541" s="468" t="s">
        <v>3298</v>
      </c>
      <c r="F541" s="468" t="s">
        <v>4828</v>
      </c>
      <c r="G541" s="466">
        <v>8</v>
      </c>
      <c r="H541" s="465">
        <v>6.5</v>
      </c>
      <c r="I541" s="466" t="s">
        <v>1360</v>
      </c>
      <c r="J541" s="466"/>
      <c r="K541" s="466">
        <v>9</v>
      </c>
      <c r="L541" s="506">
        <v>3</v>
      </c>
      <c r="M541" s="463">
        <v>27000</v>
      </c>
      <c r="N541" s="468" t="s">
        <v>4636</v>
      </c>
      <c r="O541" s="466">
        <v>2</v>
      </c>
      <c r="P541" s="523">
        <v>-6.25</v>
      </c>
      <c r="Q541" s="462">
        <v>8.9039351851851855E-4</v>
      </c>
      <c r="R541" s="463">
        <v>5400</v>
      </c>
      <c r="S541" s="466"/>
      <c r="T541" s="524" t="s">
        <v>5299</v>
      </c>
      <c r="W541" s="460"/>
      <c r="AY541" s="486" t="str">
        <f t="shared" ref="AY541:AY559" si="31">IF(S541="","",R541)</f>
        <v/>
      </c>
      <c r="AZ541" s="487" t="str">
        <f t="shared" ref="AZ541:AZ559" si="32">IF(F541="Pleasant Meadows","",IF(L541="","",IF(O541="--","",IF(O541=1,1,""))))</f>
        <v/>
      </c>
      <c r="CH541" s="459"/>
    </row>
    <row r="542" spans="1:90" s="469" customFormat="1" ht="12" customHeight="1" x14ac:dyDescent="0.15">
      <c r="A542" s="471" t="s">
        <v>2480</v>
      </c>
      <c r="B542" s="472">
        <v>42530</v>
      </c>
      <c r="C542" s="471" t="s">
        <v>3992</v>
      </c>
      <c r="D542" s="471" t="s">
        <v>3990</v>
      </c>
      <c r="E542" s="471" t="s">
        <v>4694</v>
      </c>
      <c r="F542" s="471" t="s">
        <v>540</v>
      </c>
      <c r="G542" s="473">
        <v>5</v>
      </c>
      <c r="H542" s="474">
        <v>6.5</v>
      </c>
      <c r="I542" s="475"/>
      <c r="J542" s="475"/>
      <c r="K542" s="473">
        <v>6</v>
      </c>
      <c r="L542" s="458">
        <v>8</v>
      </c>
      <c r="M542" s="476">
        <v>17000</v>
      </c>
      <c r="N542" s="471" t="s">
        <v>4305</v>
      </c>
      <c r="O542" s="477" t="s">
        <v>431</v>
      </c>
      <c r="P542" s="478" t="s">
        <v>431</v>
      </c>
      <c r="Q542" s="479" t="s">
        <v>431</v>
      </c>
      <c r="R542" s="480" t="s">
        <v>431</v>
      </c>
      <c r="S542" s="477"/>
      <c r="T542" s="481" t="s">
        <v>4785</v>
      </c>
      <c r="U542" s="482"/>
      <c r="V542" s="482"/>
      <c r="W542" s="483"/>
      <c r="X542" s="482"/>
      <c r="Y542" s="482"/>
      <c r="Z542" s="482"/>
      <c r="AA542" s="482"/>
      <c r="AB542" s="482"/>
      <c r="AC542" s="482"/>
      <c r="AD542" s="482"/>
      <c r="AE542" s="482"/>
      <c r="AF542" s="482"/>
      <c r="AG542" s="482"/>
      <c r="AH542" s="482"/>
      <c r="AI542" s="482"/>
      <c r="AJ542" s="482"/>
      <c r="AK542" s="482"/>
      <c r="AL542" s="482"/>
      <c r="AM542" s="482"/>
      <c r="AN542" s="482"/>
      <c r="AO542" s="482"/>
      <c r="AP542" s="482"/>
      <c r="AQ542" s="482"/>
      <c r="AR542" s="482"/>
      <c r="AS542" s="482"/>
      <c r="AT542" s="482"/>
      <c r="AU542" s="482"/>
      <c r="AV542" s="482"/>
      <c r="AW542" s="482"/>
      <c r="AX542" s="482"/>
      <c r="AY542" s="486" t="str">
        <f t="shared" si="31"/>
        <v/>
      </c>
      <c r="AZ542" s="487" t="str">
        <f t="shared" si="32"/>
        <v/>
      </c>
      <c r="BA542" s="482"/>
      <c r="BB542" s="482"/>
      <c r="BC542" s="482"/>
      <c r="BD542" s="482"/>
      <c r="BE542" s="482"/>
      <c r="BF542" s="482"/>
      <c r="BG542" s="482"/>
      <c r="BH542" s="482"/>
      <c r="BI542" s="482"/>
      <c r="BJ542" s="482"/>
      <c r="BK542" s="482"/>
      <c r="BL542" s="482"/>
      <c r="BM542" s="482"/>
      <c r="BN542" s="482"/>
      <c r="BO542" s="482"/>
      <c r="BP542" s="482"/>
      <c r="BQ542" s="482"/>
      <c r="BR542" s="482"/>
      <c r="BS542" s="482"/>
      <c r="BT542" s="482"/>
      <c r="BU542" s="482"/>
      <c r="BV542" s="482"/>
      <c r="BW542" s="482"/>
      <c r="BX542" s="482"/>
      <c r="BY542" s="482"/>
      <c r="BZ542" s="482"/>
      <c r="CA542" s="482"/>
      <c r="CB542" s="482"/>
      <c r="CC542" s="482"/>
      <c r="CD542" s="482"/>
      <c r="CE542" s="482"/>
      <c r="CF542" s="482"/>
      <c r="CG542" s="482"/>
      <c r="CH542" s="484"/>
    </row>
    <row r="543" spans="1:90" s="461" customFormat="1" ht="12" customHeight="1" x14ac:dyDescent="0.15">
      <c r="A543" s="522" t="s">
        <v>1539</v>
      </c>
      <c r="B543" s="467">
        <v>42531</v>
      </c>
      <c r="C543" s="468" t="s">
        <v>4976</v>
      </c>
      <c r="D543" s="468" t="s">
        <v>4969</v>
      </c>
      <c r="E543" s="468" t="s">
        <v>4972</v>
      </c>
      <c r="F543" s="468" t="s">
        <v>3300</v>
      </c>
      <c r="G543" s="466">
        <v>4</v>
      </c>
      <c r="H543" s="465">
        <v>5.5</v>
      </c>
      <c r="I543" s="466"/>
      <c r="J543" s="466"/>
      <c r="K543" s="466">
        <v>8</v>
      </c>
      <c r="L543" s="506">
        <v>4</v>
      </c>
      <c r="M543" s="463">
        <v>15000</v>
      </c>
      <c r="N543" s="468" t="s">
        <v>197</v>
      </c>
      <c r="O543" s="466">
        <v>7</v>
      </c>
      <c r="P543" s="523">
        <v>-8.5</v>
      </c>
      <c r="Q543" s="462">
        <v>7.6331018518518512E-4</v>
      </c>
      <c r="R543" s="463">
        <v>500</v>
      </c>
      <c r="S543" s="466"/>
      <c r="T543" s="524"/>
      <c r="W543" s="460"/>
      <c r="AY543" s="486" t="str">
        <f t="shared" si="31"/>
        <v/>
      </c>
      <c r="AZ543" s="487" t="str">
        <f t="shared" si="32"/>
        <v/>
      </c>
      <c r="CH543" s="459"/>
    </row>
    <row r="544" spans="1:90" s="461" customFormat="1" ht="12" customHeight="1" x14ac:dyDescent="0.15">
      <c r="A544" s="522" t="s">
        <v>36</v>
      </c>
      <c r="B544" s="467">
        <v>42531</v>
      </c>
      <c r="C544" s="468" t="s">
        <v>4563</v>
      </c>
      <c r="D544" s="468" t="s">
        <v>4564</v>
      </c>
      <c r="E544" s="468" t="s">
        <v>4973</v>
      </c>
      <c r="F544" s="468" t="s">
        <v>775</v>
      </c>
      <c r="G544" s="466">
        <v>1</v>
      </c>
      <c r="H544" s="465">
        <v>7</v>
      </c>
      <c r="I544" s="466"/>
      <c r="J544" s="466"/>
      <c r="K544" s="466">
        <v>6</v>
      </c>
      <c r="L544" s="506">
        <f>8/5</f>
        <v>1.6</v>
      </c>
      <c r="M544" s="463">
        <v>6000</v>
      </c>
      <c r="N544" s="468" t="s">
        <v>197</v>
      </c>
      <c r="O544" s="466">
        <v>2</v>
      </c>
      <c r="P544" s="523">
        <v>-0.5</v>
      </c>
      <c r="Q544" s="462">
        <v>9.8252314814814817E-4</v>
      </c>
      <c r="R544" s="463">
        <v>1200</v>
      </c>
      <c r="S544" s="466"/>
      <c r="T544" s="524" t="s">
        <v>4253</v>
      </c>
      <c r="W544" s="460"/>
      <c r="AY544" s="486" t="str">
        <f t="shared" si="31"/>
        <v/>
      </c>
      <c r="AZ544" s="487" t="str">
        <f t="shared" si="32"/>
        <v/>
      </c>
      <c r="CH544" s="459"/>
    </row>
    <row r="545" spans="1:90" s="461" customFormat="1" ht="12" customHeight="1" x14ac:dyDescent="0.15">
      <c r="A545" s="522" t="s">
        <v>1953</v>
      </c>
      <c r="B545" s="467">
        <v>42531</v>
      </c>
      <c r="C545" s="468" t="s">
        <v>4719</v>
      </c>
      <c r="D545" s="468" t="s">
        <v>4860</v>
      </c>
      <c r="E545" s="468" t="s">
        <v>4974</v>
      </c>
      <c r="F545" s="468" t="s">
        <v>1153</v>
      </c>
      <c r="G545" s="466">
        <v>8</v>
      </c>
      <c r="H545" s="465">
        <v>9</v>
      </c>
      <c r="I545" s="466" t="s">
        <v>3730</v>
      </c>
      <c r="J545" s="466"/>
      <c r="K545" s="466">
        <v>9</v>
      </c>
      <c r="L545" s="506">
        <f>9/2</f>
        <v>4.5</v>
      </c>
      <c r="M545" s="463">
        <v>22000</v>
      </c>
      <c r="N545" s="468" t="s">
        <v>4902</v>
      </c>
      <c r="O545" s="466">
        <v>3</v>
      </c>
      <c r="P545" s="523">
        <v>-1.5</v>
      </c>
      <c r="Q545" s="462">
        <v>1.2726851851851851E-3</v>
      </c>
      <c r="R545" s="463">
        <v>2420</v>
      </c>
      <c r="S545" s="466"/>
      <c r="T545" s="524"/>
      <c r="W545" s="460"/>
      <c r="AY545" s="486" t="str">
        <f t="shared" si="31"/>
        <v/>
      </c>
      <c r="AZ545" s="487" t="str">
        <f t="shared" si="32"/>
        <v/>
      </c>
      <c r="CH545" s="459"/>
    </row>
    <row r="546" spans="1:90" s="461" customFormat="1" ht="12" customHeight="1" x14ac:dyDescent="0.15">
      <c r="A546" s="522" t="s">
        <v>33</v>
      </c>
      <c r="B546" s="467">
        <v>42531</v>
      </c>
      <c r="C546" s="468" t="s">
        <v>3715</v>
      </c>
      <c r="D546" s="468" t="s">
        <v>3716</v>
      </c>
      <c r="E546" s="468" t="s">
        <v>3761</v>
      </c>
      <c r="F546" s="468" t="s">
        <v>2332</v>
      </c>
      <c r="G546" s="466">
        <v>8</v>
      </c>
      <c r="H546" s="465">
        <v>5.5</v>
      </c>
      <c r="I546" s="466"/>
      <c r="J546" s="466" t="s">
        <v>4366</v>
      </c>
      <c r="K546" s="466">
        <v>10</v>
      </c>
      <c r="L546" s="506">
        <v>5</v>
      </c>
      <c r="M546" s="463">
        <v>7000</v>
      </c>
      <c r="N546" s="468" t="s">
        <v>197</v>
      </c>
      <c r="O546" s="466">
        <v>5</v>
      </c>
      <c r="P546" s="523">
        <v>-8.75</v>
      </c>
      <c r="Q546" s="462">
        <v>7.6215277777777772E-4</v>
      </c>
      <c r="R546" s="463">
        <v>70</v>
      </c>
      <c r="S546" s="466"/>
      <c r="T546" s="524"/>
      <c r="W546" s="460"/>
      <c r="AY546" s="486" t="str">
        <f t="shared" si="31"/>
        <v/>
      </c>
      <c r="AZ546" s="487" t="str">
        <f t="shared" si="32"/>
        <v/>
      </c>
      <c r="CH546" s="459"/>
    </row>
    <row r="547" spans="1:90" s="469" customFormat="1" ht="12" customHeight="1" x14ac:dyDescent="0.15">
      <c r="A547" s="444" t="s">
        <v>2276</v>
      </c>
      <c r="B547" s="445">
        <v>42531</v>
      </c>
      <c r="C547" s="446" t="s">
        <v>1786</v>
      </c>
      <c r="D547" s="446" t="s">
        <v>4257</v>
      </c>
      <c r="E547" s="446" t="s">
        <v>5009</v>
      </c>
      <c r="F547" s="446" t="s">
        <v>2376</v>
      </c>
      <c r="G547" s="447">
        <v>2</v>
      </c>
      <c r="H547" s="448">
        <v>8</v>
      </c>
      <c r="I547" s="447" t="s">
        <v>3730</v>
      </c>
      <c r="J547" s="447"/>
      <c r="K547" s="447">
        <v>9</v>
      </c>
      <c r="L547" s="449">
        <f>5/2</f>
        <v>2.5</v>
      </c>
      <c r="M547" s="450">
        <v>20900</v>
      </c>
      <c r="N547" s="446" t="s">
        <v>4983</v>
      </c>
      <c r="O547" s="447">
        <v>1</v>
      </c>
      <c r="P547" s="451">
        <v>1.25</v>
      </c>
      <c r="Q547" s="452">
        <v>1.1159722222222222E-3</v>
      </c>
      <c r="R547" s="450">
        <v>12540</v>
      </c>
      <c r="S547" s="447"/>
      <c r="T547" s="453" t="s">
        <v>5019</v>
      </c>
      <c r="U547" s="454"/>
      <c r="V547" s="454"/>
      <c r="W547" s="455"/>
      <c r="X547" s="454"/>
      <c r="Y547" s="454"/>
      <c r="Z547" s="454"/>
      <c r="AA547" s="454"/>
      <c r="AB547" s="454"/>
      <c r="AC547" s="454"/>
      <c r="AD547" s="454"/>
      <c r="AE547" s="454"/>
      <c r="AF547" s="454"/>
      <c r="AG547" s="454"/>
      <c r="AH547" s="454"/>
      <c r="AI547" s="454"/>
      <c r="AJ547" s="454"/>
      <c r="AK547" s="454"/>
      <c r="AL547" s="454"/>
      <c r="AM547" s="454"/>
      <c r="AN547" s="454"/>
      <c r="AO547" s="454"/>
      <c r="AP547" s="454"/>
      <c r="AQ547" s="454"/>
      <c r="AR547" s="454"/>
      <c r="AS547" s="454"/>
      <c r="AT547" s="454"/>
      <c r="AU547" s="454"/>
      <c r="AV547" s="454"/>
      <c r="AW547" s="454"/>
      <c r="AX547" s="454"/>
      <c r="AY547" s="486" t="str">
        <f t="shared" si="31"/>
        <v/>
      </c>
      <c r="AZ547" s="487">
        <f t="shared" si="32"/>
        <v>1</v>
      </c>
      <c r="BA547" s="454"/>
      <c r="BB547" s="454"/>
      <c r="BC547" s="454"/>
      <c r="BD547" s="454"/>
      <c r="BE547" s="454"/>
      <c r="BF547" s="454"/>
      <c r="BG547" s="454"/>
      <c r="BH547" s="454"/>
      <c r="BI547" s="454"/>
      <c r="BJ547" s="454"/>
      <c r="BK547" s="454"/>
      <c r="BL547" s="454"/>
      <c r="BM547" s="454"/>
      <c r="BN547" s="454"/>
      <c r="BO547" s="454"/>
      <c r="BP547" s="454"/>
      <c r="BQ547" s="454"/>
      <c r="BR547" s="454"/>
      <c r="BS547" s="454"/>
      <c r="BT547" s="454"/>
      <c r="BU547" s="454"/>
      <c r="BV547" s="454"/>
      <c r="BW547" s="454"/>
      <c r="BX547" s="454"/>
      <c r="BY547" s="454"/>
      <c r="BZ547" s="454"/>
      <c r="CA547" s="454"/>
      <c r="CB547" s="454"/>
      <c r="CC547" s="454"/>
      <c r="CD547" s="454"/>
      <c r="CE547" s="454"/>
      <c r="CF547" s="454"/>
      <c r="CG547" s="454"/>
      <c r="CH547" s="456"/>
      <c r="CI547" s="454"/>
      <c r="CJ547" s="454"/>
      <c r="CK547" s="454"/>
      <c r="CL547" s="454"/>
    </row>
    <row r="548" spans="1:90" s="461" customFormat="1" ht="12" customHeight="1" x14ac:dyDescent="0.15">
      <c r="A548" s="522" t="s">
        <v>1788</v>
      </c>
      <c r="B548" s="467">
        <v>42532</v>
      </c>
      <c r="C548" s="468" t="s">
        <v>1474</v>
      </c>
      <c r="D548" s="468" t="s">
        <v>4089</v>
      </c>
      <c r="E548" s="468" t="s">
        <v>5020</v>
      </c>
      <c r="F548" s="468" t="s">
        <v>5021</v>
      </c>
      <c r="G548" s="466">
        <v>10</v>
      </c>
      <c r="H548" s="465">
        <v>8</v>
      </c>
      <c r="I548" s="466"/>
      <c r="J548" s="466"/>
      <c r="K548" s="466">
        <v>15</v>
      </c>
      <c r="L548" s="465" t="s">
        <v>431</v>
      </c>
      <c r="M548" s="463">
        <v>391590</v>
      </c>
      <c r="N548" s="468" t="s">
        <v>5022</v>
      </c>
      <c r="O548" s="466">
        <v>14</v>
      </c>
      <c r="P548" s="523">
        <v>-6.75</v>
      </c>
      <c r="Q548" s="462">
        <v>1.1134259259259259E-3</v>
      </c>
      <c r="R548" s="463">
        <v>0</v>
      </c>
      <c r="S548" s="466" t="s">
        <v>625</v>
      </c>
      <c r="T548" s="524"/>
      <c r="W548" s="460"/>
      <c r="AY548" s="486">
        <f t="shared" si="31"/>
        <v>0</v>
      </c>
      <c r="AZ548" s="487" t="str">
        <f t="shared" si="32"/>
        <v/>
      </c>
      <c r="CH548" s="459"/>
    </row>
    <row r="549" spans="1:90" s="461" customFormat="1" ht="12" customHeight="1" x14ac:dyDescent="0.15">
      <c r="A549" s="522" t="s">
        <v>3838</v>
      </c>
      <c r="B549" s="467">
        <v>42532</v>
      </c>
      <c r="C549" s="468" t="s">
        <v>3841</v>
      </c>
      <c r="D549" s="468" t="s">
        <v>3837</v>
      </c>
      <c r="E549" s="468" t="s">
        <v>3848</v>
      </c>
      <c r="F549" s="468" t="s">
        <v>3686</v>
      </c>
      <c r="G549" s="466">
        <v>1</v>
      </c>
      <c r="H549" s="465">
        <v>10</v>
      </c>
      <c r="I549" s="466"/>
      <c r="J549" s="466"/>
      <c r="K549" s="466">
        <v>7</v>
      </c>
      <c r="L549" s="525">
        <v>2</v>
      </c>
      <c r="M549" s="463">
        <v>7635</v>
      </c>
      <c r="N549" s="468" t="s">
        <v>3348</v>
      </c>
      <c r="O549" s="466">
        <v>2</v>
      </c>
      <c r="P549" s="523">
        <v>-1.25</v>
      </c>
      <c r="Q549" s="462">
        <v>1.4381944444444444E-3</v>
      </c>
      <c r="R549" s="463">
        <v>995</v>
      </c>
      <c r="S549" s="466" t="s">
        <v>625</v>
      </c>
      <c r="T549" s="524" t="s">
        <v>3755</v>
      </c>
      <c r="W549" s="460"/>
      <c r="AY549" s="486">
        <f t="shared" si="31"/>
        <v>995</v>
      </c>
      <c r="AZ549" s="487" t="str">
        <f t="shared" si="32"/>
        <v/>
      </c>
      <c r="CH549" s="459"/>
    </row>
    <row r="550" spans="1:90" s="461" customFormat="1" ht="12" customHeight="1" x14ac:dyDescent="0.15">
      <c r="A550" s="522" t="s">
        <v>57</v>
      </c>
      <c r="B550" s="467">
        <v>42532</v>
      </c>
      <c r="C550" s="468" t="s">
        <v>4472</v>
      </c>
      <c r="D550" s="468" t="s">
        <v>4300</v>
      </c>
      <c r="E550" s="468" t="s">
        <v>4713</v>
      </c>
      <c r="F550" s="468" t="s">
        <v>1153</v>
      </c>
      <c r="G550" s="466">
        <v>2</v>
      </c>
      <c r="H550" s="465">
        <v>5</v>
      </c>
      <c r="I550" s="466" t="s">
        <v>3730</v>
      </c>
      <c r="J550" s="466"/>
      <c r="K550" s="466">
        <v>7</v>
      </c>
      <c r="L550" s="506">
        <f>7/5</f>
        <v>1.4</v>
      </c>
      <c r="M550" s="463">
        <v>23000</v>
      </c>
      <c r="N550" s="468" t="s">
        <v>4998</v>
      </c>
      <c r="O550" s="466">
        <v>6</v>
      </c>
      <c r="P550" s="523">
        <v>-5.75</v>
      </c>
      <c r="Q550" s="462">
        <v>6.5127314814814822E-4</v>
      </c>
      <c r="R550" s="463">
        <v>0</v>
      </c>
      <c r="S550" s="466"/>
      <c r="T550" s="524" t="s">
        <v>5023</v>
      </c>
      <c r="W550" s="460"/>
      <c r="AY550" s="486" t="str">
        <f t="shared" si="31"/>
        <v/>
      </c>
      <c r="AZ550" s="487" t="str">
        <f t="shared" si="32"/>
        <v/>
      </c>
      <c r="CH550" s="459"/>
    </row>
    <row r="551" spans="1:90" s="461" customFormat="1" ht="12" customHeight="1" x14ac:dyDescent="0.15">
      <c r="A551" s="522" t="s">
        <v>3941</v>
      </c>
      <c r="B551" s="467">
        <v>42532</v>
      </c>
      <c r="C551" s="468" t="s">
        <v>2744</v>
      </c>
      <c r="D551" s="468" t="s">
        <v>3832</v>
      </c>
      <c r="E551" s="468" t="s">
        <v>4299</v>
      </c>
      <c r="F551" s="468" t="s">
        <v>3686</v>
      </c>
      <c r="G551" s="466">
        <v>2</v>
      </c>
      <c r="H551" s="465">
        <v>6</v>
      </c>
      <c r="I551" s="466"/>
      <c r="J551" s="466"/>
      <c r="K551" s="466">
        <v>6</v>
      </c>
      <c r="L551" s="525">
        <f>9/2</f>
        <v>4.5</v>
      </c>
      <c r="M551" s="463">
        <v>6894</v>
      </c>
      <c r="N551" s="468" t="s">
        <v>3225</v>
      </c>
      <c r="O551" s="466">
        <v>2</v>
      </c>
      <c r="P551" s="555" t="s">
        <v>4111</v>
      </c>
      <c r="Q551" s="462">
        <v>8.1446759259259265E-4</v>
      </c>
      <c r="R551" s="463">
        <v>1452</v>
      </c>
      <c r="S551" s="466" t="s">
        <v>625</v>
      </c>
      <c r="T551" s="524"/>
      <c r="W551" s="460"/>
      <c r="AY551" s="486">
        <f t="shared" si="31"/>
        <v>1452</v>
      </c>
      <c r="AZ551" s="487" t="str">
        <f t="shared" si="32"/>
        <v/>
      </c>
      <c r="CH551" s="459"/>
    </row>
    <row r="552" spans="1:90" s="469" customFormat="1" ht="12" customHeight="1" x14ac:dyDescent="0.15">
      <c r="A552" s="444" t="s">
        <v>3776</v>
      </c>
      <c r="B552" s="445">
        <v>42532</v>
      </c>
      <c r="C552" s="446" t="s">
        <v>3726</v>
      </c>
      <c r="D552" s="446" t="s">
        <v>3725</v>
      </c>
      <c r="E552" s="446" t="s">
        <v>3684</v>
      </c>
      <c r="F552" s="446" t="s">
        <v>3686</v>
      </c>
      <c r="G552" s="447">
        <v>3</v>
      </c>
      <c r="H552" s="447">
        <v>7</v>
      </c>
      <c r="I552" s="447"/>
      <c r="J552" s="447"/>
      <c r="K552" s="447">
        <v>8</v>
      </c>
      <c r="L552" s="449">
        <v>3</v>
      </c>
      <c r="M552" s="450">
        <v>6937</v>
      </c>
      <c r="N552" s="446" t="s">
        <v>3225</v>
      </c>
      <c r="O552" s="447">
        <v>1</v>
      </c>
      <c r="P552" s="451">
        <v>4</v>
      </c>
      <c r="Q552" s="452">
        <v>9.6400462962962976E-4</v>
      </c>
      <c r="R552" s="450">
        <v>4174</v>
      </c>
      <c r="S552" s="447" t="s">
        <v>625</v>
      </c>
      <c r="T552" s="453" t="s">
        <v>3755</v>
      </c>
      <c r="U552" s="454"/>
      <c r="V552" s="454"/>
      <c r="W552" s="455"/>
      <c r="X552" s="454"/>
      <c r="Y552" s="454"/>
      <c r="Z552" s="454"/>
      <c r="AA552" s="454"/>
      <c r="AB552" s="454"/>
      <c r="AC552" s="454"/>
      <c r="AD552" s="454"/>
      <c r="AE552" s="454"/>
      <c r="AF552" s="454"/>
      <c r="AG552" s="454"/>
      <c r="AH552" s="454"/>
      <c r="AI552" s="454"/>
      <c r="AJ552" s="454"/>
      <c r="AK552" s="454"/>
      <c r="AL552" s="454"/>
      <c r="AM552" s="454"/>
      <c r="AN552" s="454"/>
      <c r="AO552" s="454"/>
      <c r="AP552" s="454"/>
      <c r="AQ552" s="454"/>
      <c r="AR552" s="454"/>
      <c r="AS552" s="454"/>
      <c r="AT552" s="454"/>
      <c r="AU552" s="454"/>
      <c r="AV552" s="454"/>
      <c r="AW552" s="454"/>
      <c r="AX552" s="454"/>
      <c r="AY552" s="486">
        <f t="shared" si="31"/>
        <v>4174</v>
      </c>
      <c r="AZ552" s="487">
        <f t="shared" si="32"/>
        <v>1</v>
      </c>
      <c r="BA552" s="454"/>
      <c r="BB552" s="454"/>
      <c r="BC552" s="454"/>
      <c r="BD552" s="454"/>
      <c r="BE552" s="454"/>
      <c r="BF552" s="454"/>
      <c r="BG552" s="454"/>
      <c r="BH552" s="454"/>
      <c r="BI552" s="454"/>
      <c r="BJ552" s="454"/>
      <c r="BK552" s="454"/>
      <c r="BL552" s="454"/>
      <c r="BM552" s="454"/>
      <c r="BN552" s="454"/>
      <c r="BO552" s="454"/>
      <c r="BP552" s="454"/>
      <c r="BQ552" s="454"/>
      <c r="BR552" s="454"/>
      <c r="BS552" s="454"/>
      <c r="BT552" s="454"/>
      <c r="BU552" s="454"/>
      <c r="BV552" s="454"/>
      <c r="BW552" s="454"/>
      <c r="BX552" s="454"/>
      <c r="BY552" s="454"/>
      <c r="BZ552" s="454"/>
      <c r="CA552" s="454"/>
      <c r="CB552" s="454"/>
      <c r="CC552" s="454"/>
      <c r="CD552" s="454"/>
      <c r="CE552" s="454"/>
      <c r="CF552" s="454"/>
      <c r="CG552" s="454"/>
      <c r="CH552" s="456"/>
      <c r="CI552" s="454"/>
      <c r="CJ552" s="454"/>
      <c r="CK552" s="454"/>
      <c r="CL552" s="454"/>
    </row>
    <row r="553" spans="1:90" s="461" customFormat="1" ht="12" customHeight="1" x14ac:dyDescent="0.15">
      <c r="A553" s="522" t="s">
        <v>4063</v>
      </c>
      <c r="B553" s="467">
        <v>42532</v>
      </c>
      <c r="C553" s="468" t="s">
        <v>4064</v>
      </c>
      <c r="D553" s="468" t="s">
        <v>4014</v>
      </c>
      <c r="E553" s="468" t="s">
        <v>4764</v>
      </c>
      <c r="F553" s="468" t="s">
        <v>3686</v>
      </c>
      <c r="G553" s="466">
        <v>3</v>
      </c>
      <c r="H553" s="465">
        <v>7</v>
      </c>
      <c r="I553" s="466"/>
      <c r="J553" s="466"/>
      <c r="K553" s="466">
        <v>8</v>
      </c>
      <c r="L553" s="525">
        <v>30</v>
      </c>
      <c r="M553" s="463">
        <v>6937</v>
      </c>
      <c r="N553" s="468" t="s">
        <v>3225</v>
      </c>
      <c r="O553" s="466">
        <v>6</v>
      </c>
      <c r="P553" s="523">
        <v>-11.75</v>
      </c>
      <c r="Q553" s="462">
        <v>9.6400462962962976E-4</v>
      </c>
      <c r="R553" s="463">
        <v>99</v>
      </c>
      <c r="S553" s="466" t="s">
        <v>625</v>
      </c>
      <c r="T553" s="524"/>
      <c r="W553" s="460"/>
      <c r="AY553" s="486">
        <f t="shared" si="31"/>
        <v>99</v>
      </c>
      <c r="AZ553" s="487" t="str">
        <f t="shared" si="32"/>
        <v/>
      </c>
      <c r="CH553" s="459"/>
    </row>
    <row r="554" spans="1:90" s="461" customFormat="1" ht="12" customHeight="1" x14ac:dyDescent="0.15">
      <c r="A554" s="522" t="s">
        <v>3369</v>
      </c>
      <c r="B554" s="467">
        <v>42532</v>
      </c>
      <c r="C554" s="468" t="s">
        <v>3370</v>
      </c>
      <c r="D554" s="468" t="s">
        <v>3902</v>
      </c>
      <c r="E554" s="468" t="s">
        <v>4712</v>
      </c>
      <c r="F554" s="468" t="s">
        <v>3686</v>
      </c>
      <c r="G554" s="466">
        <v>3</v>
      </c>
      <c r="H554" s="465">
        <v>7</v>
      </c>
      <c r="I554" s="466"/>
      <c r="J554" s="466"/>
      <c r="K554" s="466">
        <v>8</v>
      </c>
      <c r="L554" s="525">
        <v>8</v>
      </c>
      <c r="M554" s="463">
        <v>6937</v>
      </c>
      <c r="N554" s="468" t="s">
        <v>3225</v>
      </c>
      <c r="O554" s="466">
        <v>7</v>
      </c>
      <c r="P554" s="523">
        <v>-17.25</v>
      </c>
      <c r="Q554" s="462">
        <v>9.6400462962962976E-4</v>
      </c>
      <c r="R554" s="463">
        <v>99</v>
      </c>
      <c r="S554" s="466" t="s">
        <v>625</v>
      </c>
      <c r="T554" s="524"/>
      <c r="W554" s="460"/>
      <c r="AY554" s="486">
        <f t="shared" si="31"/>
        <v>99</v>
      </c>
      <c r="AZ554" s="487" t="str">
        <f t="shared" si="32"/>
        <v/>
      </c>
      <c r="CH554" s="459"/>
    </row>
    <row r="555" spans="1:90" s="461" customFormat="1" ht="12" customHeight="1" x14ac:dyDescent="0.15">
      <c r="A555" s="522" t="s">
        <v>122</v>
      </c>
      <c r="B555" s="467">
        <v>42532</v>
      </c>
      <c r="C555" s="468" t="s">
        <v>4346</v>
      </c>
      <c r="D555" s="468" t="s">
        <v>4347</v>
      </c>
      <c r="E555" s="468" t="s">
        <v>4999</v>
      </c>
      <c r="F555" s="468" t="s">
        <v>1162</v>
      </c>
      <c r="G555" s="466">
        <v>3</v>
      </c>
      <c r="H555" s="465">
        <v>9</v>
      </c>
      <c r="I555" s="466" t="s">
        <v>1360</v>
      </c>
      <c r="J555" s="466"/>
      <c r="K555" s="466">
        <v>7</v>
      </c>
      <c r="L555" s="506">
        <v>5</v>
      </c>
      <c r="M555" s="463">
        <v>35000</v>
      </c>
      <c r="N555" s="468" t="s">
        <v>5000</v>
      </c>
      <c r="O555" s="466">
        <v>6</v>
      </c>
      <c r="P555" s="523">
        <v>-2.25</v>
      </c>
      <c r="Q555" s="462">
        <v>1.3054398148148148E-3</v>
      </c>
      <c r="R555" s="463">
        <v>0</v>
      </c>
      <c r="S555" s="466"/>
      <c r="T555" s="524"/>
      <c r="W555" s="460"/>
      <c r="AY555" s="486" t="str">
        <f t="shared" si="31"/>
        <v/>
      </c>
      <c r="AZ555" s="487" t="str">
        <f t="shared" si="32"/>
        <v/>
      </c>
      <c r="CH555" s="459"/>
    </row>
    <row r="556" spans="1:90" s="461" customFormat="1" ht="12" customHeight="1" x14ac:dyDescent="0.15">
      <c r="A556" s="522" t="s">
        <v>4953</v>
      </c>
      <c r="B556" s="467">
        <v>42532</v>
      </c>
      <c r="C556" s="468" t="s">
        <v>4954</v>
      </c>
      <c r="D556" s="468" t="s">
        <v>5106</v>
      </c>
      <c r="E556" s="468" t="s">
        <v>4977</v>
      </c>
      <c r="F556" s="468" t="s">
        <v>3686</v>
      </c>
      <c r="G556" s="466">
        <v>6</v>
      </c>
      <c r="H556" s="465">
        <v>5.5</v>
      </c>
      <c r="I556" s="466"/>
      <c r="J556" s="466"/>
      <c r="K556" s="466">
        <v>11</v>
      </c>
      <c r="L556" s="506">
        <f>6/5</f>
        <v>1.2</v>
      </c>
      <c r="M556" s="463">
        <v>9250</v>
      </c>
      <c r="N556" s="468" t="s">
        <v>4006</v>
      </c>
      <c r="O556" s="466">
        <v>5</v>
      </c>
      <c r="P556" s="523">
        <v>-7.75</v>
      </c>
      <c r="Q556" s="462">
        <v>7.635416666666666E-4</v>
      </c>
      <c r="R556" s="463">
        <v>99</v>
      </c>
      <c r="S556" s="466" t="s">
        <v>625</v>
      </c>
      <c r="T556" s="524"/>
      <c r="W556" s="460"/>
      <c r="AY556" s="486">
        <f t="shared" si="31"/>
        <v>99</v>
      </c>
      <c r="AZ556" s="487" t="str">
        <f t="shared" si="32"/>
        <v/>
      </c>
      <c r="CH556" s="459"/>
    </row>
    <row r="557" spans="1:90" s="461" customFormat="1" ht="12" customHeight="1" x14ac:dyDescent="0.15">
      <c r="A557" s="522" t="s">
        <v>4961</v>
      </c>
      <c r="B557" s="467">
        <v>42532</v>
      </c>
      <c r="C557" s="468" t="s">
        <v>4962</v>
      </c>
      <c r="D557" s="468" t="s">
        <v>4963</v>
      </c>
      <c r="E557" s="468" t="s">
        <v>4992</v>
      </c>
      <c r="F557" s="468" t="s">
        <v>3686</v>
      </c>
      <c r="G557" s="466">
        <v>6</v>
      </c>
      <c r="H557" s="465">
        <v>5.5</v>
      </c>
      <c r="I557" s="466"/>
      <c r="J557" s="466"/>
      <c r="K557" s="466">
        <v>11</v>
      </c>
      <c r="L557" s="506">
        <v>8</v>
      </c>
      <c r="M557" s="463">
        <v>9250</v>
      </c>
      <c r="N557" s="468" t="s">
        <v>4006</v>
      </c>
      <c r="O557" s="466" t="s">
        <v>3872</v>
      </c>
      <c r="P557" s="523" t="s">
        <v>3188</v>
      </c>
      <c r="Q557" s="462">
        <v>7.635416666666666E-4</v>
      </c>
      <c r="R557" s="463">
        <v>0</v>
      </c>
      <c r="S557" s="466" t="s">
        <v>625</v>
      </c>
      <c r="T557" s="524"/>
      <c r="W557" s="460"/>
      <c r="AY557" s="486">
        <f t="shared" si="31"/>
        <v>0</v>
      </c>
      <c r="AZ557" s="487" t="str">
        <f t="shared" si="32"/>
        <v/>
      </c>
      <c r="CH557" s="459"/>
    </row>
    <row r="558" spans="1:90" s="461" customFormat="1" ht="12" customHeight="1" x14ac:dyDescent="0.15">
      <c r="A558" s="522" t="s">
        <v>3064</v>
      </c>
      <c r="B558" s="467">
        <v>42532</v>
      </c>
      <c r="C558" s="468" t="s">
        <v>2511</v>
      </c>
      <c r="D558" s="468" t="s">
        <v>3877</v>
      </c>
      <c r="E558" s="468" t="s">
        <v>4337</v>
      </c>
      <c r="F558" s="468" t="s">
        <v>1153</v>
      </c>
      <c r="G558" s="466">
        <v>7</v>
      </c>
      <c r="H558" s="465">
        <v>8.5</v>
      </c>
      <c r="I558" s="466"/>
      <c r="J558" s="466"/>
      <c r="K558" s="466">
        <v>6</v>
      </c>
      <c r="L558" s="601">
        <v>12</v>
      </c>
      <c r="M558" s="463">
        <v>40000</v>
      </c>
      <c r="N558" s="468" t="s">
        <v>3879</v>
      </c>
      <c r="O558" s="466">
        <v>3</v>
      </c>
      <c r="P558" s="523">
        <v>-1.25</v>
      </c>
      <c r="Q558" s="462">
        <v>1.2594907407407409E-3</v>
      </c>
      <c r="R558" s="463">
        <v>4400</v>
      </c>
      <c r="S558" s="466"/>
      <c r="T558" s="524"/>
      <c r="W558" s="460"/>
      <c r="AY558" s="486" t="str">
        <f t="shared" si="31"/>
        <v/>
      </c>
      <c r="AZ558" s="487" t="str">
        <f t="shared" si="32"/>
        <v/>
      </c>
      <c r="CH558" s="459"/>
    </row>
    <row r="559" spans="1:90" s="469" customFormat="1" ht="12" customHeight="1" x14ac:dyDescent="0.15">
      <c r="A559" s="444" t="s">
        <v>4062</v>
      </c>
      <c r="B559" s="445">
        <v>42532</v>
      </c>
      <c r="C559" s="446" t="s">
        <v>2744</v>
      </c>
      <c r="D559" s="446" t="s">
        <v>3298</v>
      </c>
      <c r="E559" s="446" t="s">
        <v>3699</v>
      </c>
      <c r="F559" s="446" t="s">
        <v>3686</v>
      </c>
      <c r="G559" s="447">
        <v>10</v>
      </c>
      <c r="H559" s="447">
        <v>6.5</v>
      </c>
      <c r="I559" s="447"/>
      <c r="J559" s="447"/>
      <c r="K559" s="447">
        <v>13</v>
      </c>
      <c r="L559" s="449">
        <v>2</v>
      </c>
      <c r="M559" s="450">
        <v>5610</v>
      </c>
      <c r="N559" s="446" t="s">
        <v>3348</v>
      </c>
      <c r="O559" s="447">
        <v>1</v>
      </c>
      <c r="P559" s="451">
        <v>5.5</v>
      </c>
      <c r="Q559" s="452">
        <v>8.2037037037037029E-4</v>
      </c>
      <c r="R559" s="450">
        <v>3350</v>
      </c>
      <c r="S559" s="447" t="s">
        <v>625</v>
      </c>
      <c r="T559" s="453" t="s">
        <v>3714</v>
      </c>
      <c r="U559" s="454"/>
      <c r="V559" s="454"/>
      <c r="W559" s="455"/>
      <c r="X559" s="454"/>
      <c r="Y559" s="454"/>
      <c r="Z559" s="454"/>
      <c r="AA559" s="454"/>
      <c r="AB559" s="454"/>
      <c r="AC559" s="454"/>
      <c r="AD559" s="454"/>
      <c r="AE559" s="454"/>
      <c r="AF559" s="454"/>
      <c r="AG559" s="454"/>
      <c r="AH559" s="454"/>
      <c r="AI559" s="454"/>
      <c r="AJ559" s="454"/>
      <c r="AK559" s="454"/>
      <c r="AL559" s="454"/>
      <c r="AM559" s="454"/>
      <c r="AN559" s="454"/>
      <c r="AO559" s="454"/>
      <c r="AP559" s="454"/>
      <c r="AQ559" s="454"/>
      <c r="AR559" s="454"/>
      <c r="AS559" s="454"/>
      <c r="AT559" s="454"/>
      <c r="AU559" s="454"/>
      <c r="AV559" s="454"/>
      <c r="AW559" s="454"/>
      <c r="AX559" s="454"/>
      <c r="AY559" s="486">
        <f t="shared" si="31"/>
        <v>3350</v>
      </c>
      <c r="AZ559" s="487">
        <f t="shared" si="32"/>
        <v>1</v>
      </c>
      <c r="BA559" s="454"/>
      <c r="BB559" s="454"/>
      <c r="BC559" s="454"/>
      <c r="BD559" s="454"/>
      <c r="BE559" s="454"/>
      <c r="BF559" s="454"/>
      <c r="BG559" s="454"/>
      <c r="BH559" s="454"/>
      <c r="BI559" s="454"/>
      <c r="BJ559" s="454"/>
      <c r="BK559" s="454"/>
      <c r="BL559" s="454"/>
      <c r="BM559" s="454"/>
      <c r="BN559" s="454"/>
      <c r="BO559" s="454"/>
      <c r="BP559" s="454"/>
      <c r="BQ559" s="454"/>
      <c r="BR559" s="454"/>
      <c r="BS559" s="454"/>
      <c r="BT559" s="454"/>
      <c r="BU559" s="454"/>
      <c r="BV559" s="454"/>
      <c r="BW559" s="454"/>
      <c r="BX559" s="454"/>
      <c r="BY559" s="454"/>
      <c r="BZ559" s="454"/>
      <c r="CA559" s="454"/>
      <c r="CB559" s="454"/>
      <c r="CC559" s="454"/>
      <c r="CD559" s="454"/>
      <c r="CE559" s="454"/>
      <c r="CF559" s="454"/>
      <c r="CG559" s="454"/>
      <c r="CH559" s="456"/>
      <c r="CI559" s="454"/>
      <c r="CJ559" s="454"/>
      <c r="CK559" s="454"/>
      <c r="CL559" s="454"/>
    </row>
    <row r="560" spans="1:90" s="461" customFormat="1" ht="12" customHeight="1" x14ac:dyDescent="0.15">
      <c r="A560" s="522" t="s">
        <v>4518</v>
      </c>
      <c r="B560" s="467">
        <v>42532</v>
      </c>
      <c r="C560" s="468" t="s">
        <v>4519</v>
      </c>
      <c r="D560" s="468" t="s">
        <v>4520</v>
      </c>
      <c r="E560" s="468" t="s">
        <v>3848</v>
      </c>
      <c r="F560" s="468" t="s">
        <v>3686</v>
      </c>
      <c r="G560" s="466">
        <v>15</v>
      </c>
      <c r="H560" s="465">
        <v>6</v>
      </c>
      <c r="I560" s="466"/>
      <c r="J560" s="466"/>
      <c r="K560" s="466">
        <v>13</v>
      </c>
      <c r="L560" s="506">
        <v>15</v>
      </c>
      <c r="M560" s="463">
        <v>6573</v>
      </c>
      <c r="N560" s="468" t="s">
        <v>3225</v>
      </c>
      <c r="O560" s="466">
        <v>2</v>
      </c>
      <c r="P560" s="523">
        <v>-0.5</v>
      </c>
      <c r="Q560" s="462">
        <v>7.4108796296296292E-4</v>
      </c>
      <c r="R560" s="463">
        <v>1374</v>
      </c>
      <c r="S560" s="466" t="s">
        <v>625</v>
      </c>
      <c r="T560" s="524"/>
      <c r="W560" s="460"/>
      <c r="AY560" s="486">
        <f t="shared" ref="AY560:AY562" si="33">IF(S560="","",R560)</f>
        <v>1374</v>
      </c>
      <c r="AZ560" s="487" t="str">
        <f t="shared" ref="AZ560:AZ562" si="34">IF(F560="Pleasant Meadows","",IF(L560="","",IF(O560="--","",IF(O560=1,1,""))))</f>
        <v/>
      </c>
      <c r="CH560" s="459"/>
    </row>
    <row r="561" spans="1:90" s="461" customFormat="1" ht="12" customHeight="1" x14ac:dyDescent="0.15">
      <c r="A561" s="522" t="s">
        <v>4698</v>
      </c>
      <c r="B561" s="467">
        <v>42532</v>
      </c>
      <c r="C561" s="468" t="s">
        <v>4697</v>
      </c>
      <c r="D561" s="468" t="s">
        <v>4520</v>
      </c>
      <c r="E561" s="468" t="s">
        <v>4852</v>
      </c>
      <c r="F561" s="468" t="s">
        <v>3686</v>
      </c>
      <c r="G561" s="466">
        <v>15</v>
      </c>
      <c r="H561" s="465">
        <v>6</v>
      </c>
      <c r="I561" s="466"/>
      <c r="J561" s="466"/>
      <c r="K561" s="466">
        <v>13</v>
      </c>
      <c r="L561" s="506">
        <v>50</v>
      </c>
      <c r="M561" s="463">
        <v>6573</v>
      </c>
      <c r="N561" s="468" t="s">
        <v>3225</v>
      </c>
      <c r="O561" s="466">
        <v>13</v>
      </c>
      <c r="P561" s="523">
        <v>-19</v>
      </c>
      <c r="Q561" s="462">
        <v>7.4108796296296292E-4</v>
      </c>
      <c r="R561" s="463">
        <v>99</v>
      </c>
      <c r="S561" s="466" t="s">
        <v>625</v>
      </c>
      <c r="T561" s="524"/>
      <c r="W561" s="460"/>
      <c r="AY561" s="486">
        <f t="shared" si="33"/>
        <v>99</v>
      </c>
      <c r="AZ561" s="487" t="str">
        <f t="shared" si="34"/>
        <v/>
      </c>
      <c r="CH561" s="459"/>
    </row>
    <row r="562" spans="1:90" s="469" customFormat="1" ht="12" customHeight="1" x14ac:dyDescent="0.15">
      <c r="A562" s="444" t="s">
        <v>3154</v>
      </c>
      <c r="B562" s="445">
        <v>42532</v>
      </c>
      <c r="C562" s="446" t="s">
        <v>4170</v>
      </c>
      <c r="D562" s="446" t="s">
        <v>3705</v>
      </c>
      <c r="E562" s="446" t="s">
        <v>3856</v>
      </c>
      <c r="F562" s="446" t="s">
        <v>4171</v>
      </c>
      <c r="G562" s="447">
        <v>10</v>
      </c>
      <c r="H562" s="448">
        <v>8</v>
      </c>
      <c r="I562" s="447"/>
      <c r="J562" s="447"/>
      <c r="K562" s="447">
        <v>8</v>
      </c>
      <c r="L562" s="449">
        <v>3</v>
      </c>
      <c r="M562" s="450">
        <v>51000</v>
      </c>
      <c r="N562" s="446" t="s">
        <v>3225</v>
      </c>
      <c r="O562" s="447">
        <v>1</v>
      </c>
      <c r="P562" s="451">
        <v>3.75</v>
      </c>
      <c r="Q562" s="452">
        <v>1.1467592592592593E-3</v>
      </c>
      <c r="R562" s="450">
        <v>42840</v>
      </c>
      <c r="S562" s="447"/>
      <c r="T562" s="453" t="s">
        <v>3755</v>
      </c>
      <c r="U562" s="454"/>
      <c r="V562" s="454"/>
      <c r="W562" s="455"/>
      <c r="X562" s="454"/>
      <c r="Y562" s="454"/>
      <c r="Z562" s="454"/>
      <c r="AA562" s="454"/>
      <c r="AB562" s="454"/>
      <c r="AC562" s="454"/>
      <c r="AD562" s="454"/>
      <c r="AE562" s="454"/>
      <c r="AF562" s="454"/>
      <c r="AG562" s="454"/>
      <c r="AH562" s="454"/>
      <c r="AI562" s="454"/>
      <c r="AJ562" s="454"/>
      <c r="AK562" s="454"/>
      <c r="AL562" s="454"/>
      <c r="AM562" s="454"/>
      <c r="AN562" s="454"/>
      <c r="AO562" s="454"/>
      <c r="AP562" s="454"/>
      <c r="AQ562" s="454"/>
      <c r="AR562" s="454"/>
      <c r="AS562" s="454"/>
      <c r="AT562" s="454"/>
      <c r="AU562" s="454"/>
      <c r="AV562" s="454"/>
      <c r="AW562" s="454"/>
      <c r="AX562" s="454"/>
      <c r="AY562" s="486" t="str">
        <f t="shared" si="33"/>
        <v/>
      </c>
      <c r="AZ562" s="487">
        <f t="shared" si="34"/>
        <v>1</v>
      </c>
      <c r="BA562" s="454"/>
      <c r="BB562" s="454"/>
      <c r="BC562" s="454"/>
      <c r="BD562" s="454"/>
      <c r="BE562" s="454"/>
      <c r="BF562" s="454"/>
      <c r="BG562" s="454"/>
      <c r="BH562" s="454"/>
      <c r="BI562" s="454"/>
      <c r="BJ562" s="454"/>
      <c r="BK562" s="454"/>
      <c r="BL562" s="454"/>
      <c r="BM562" s="454"/>
      <c r="BN562" s="454"/>
      <c r="BO562" s="454"/>
      <c r="BP562" s="454"/>
      <c r="BQ562" s="454"/>
      <c r="BR562" s="454"/>
      <c r="BS562" s="454"/>
      <c r="BT562" s="454"/>
      <c r="BU562" s="454"/>
      <c r="BV562" s="454"/>
      <c r="BW562" s="454"/>
      <c r="BX562" s="454"/>
      <c r="BY562" s="454"/>
      <c r="BZ562" s="454"/>
      <c r="CA562" s="454"/>
      <c r="CB562" s="454"/>
      <c r="CC562" s="454"/>
      <c r="CD562" s="454"/>
      <c r="CE562" s="454"/>
      <c r="CF562" s="454"/>
      <c r="CG562" s="454"/>
      <c r="CH562" s="456"/>
      <c r="CI562" s="454"/>
      <c r="CJ562" s="454"/>
      <c r="CK562" s="454"/>
      <c r="CL562" s="454"/>
    </row>
    <row r="563" spans="1:90" s="461" customFormat="1" ht="12" customHeight="1" x14ac:dyDescent="0.15">
      <c r="A563" s="522" t="s">
        <v>1667</v>
      </c>
      <c r="B563" s="467">
        <v>42533</v>
      </c>
      <c r="C563" s="468" t="s">
        <v>4073</v>
      </c>
      <c r="D563" s="468" t="s">
        <v>3722</v>
      </c>
      <c r="E563" s="468" t="s">
        <v>1310</v>
      </c>
      <c r="F563" s="468" t="s">
        <v>5446</v>
      </c>
      <c r="G563" s="466"/>
      <c r="H563" s="465">
        <f>1650/200</f>
        <v>8.25</v>
      </c>
      <c r="I563" s="466" t="s">
        <v>1360</v>
      </c>
      <c r="J563" s="466"/>
      <c r="K563" s="466">
        <v>11</v>
      </c>
      <c r="L563" s="525">
        <v>12</v>
      </c>
      <c r="M563" s="463">
        <v>150151</v>
      </c>
      <c r="N563" s="468" t="s">
        <v>4964</v>
      </c>
      <c r="O563" s="466">
        <v>10</v>
      </c>
      <c r="P563" s="523">
        <v>-7.75</v>
      </c>
      <c r="Q563" s="462">
        <v>1.1534722222222222E-3</v>
      </c>
      <c r="R563" s="463">
        <v>0</v>
      </c>
      <c r="S563" s="466" t="s">
        <v>625</v>
      </c>
      <c r="T563" s="524"/>
      <c r="W563" s="460"/>
      <c r="AY563" s="486">
        <f t="shared" ref="AY563:AY607" si="35">IF(S563="","",R563)</f>
        <v>0</v>
      </c>
      <c r="AZ563" s="487" t="str">
        <f t="shared" ref="AZ563:AZ607" si="36">IF(F563="Pleasant Meadows","",IF(L563="","",IF(O563="--","",IF(O563=1,1,""))))</f>
        <v/>
      </c>
      <c r="CH563" s="459"/>
    </row>
    <row r="564" spans="1:90" s="461" customFormat="1" ht="12" customHeight="1" x14ac:dyDescent="0.15">
      <c r="A564" s="522" t="s">
        <v>4003</v>
      </c>
      <c r="B564" s="467">
        <v>42533</v>
      </c>
      <c r="C564" s="468" t="s">
        <v>4004</v>
      </c>
      <c r="D564" s="468" t="s">
        <v>4005</v>
      </c>
      <c r="E564" s="468" t="s">
        <v>4977</v>
      </c>
      <c r="F564" s="468" t="s">
        <v>3685</v>
      </c>
      <c r="G564" s="466">
        <v>3</v>
      </c>
      <c r="H564" s="465">
        <v>7</v>
      </c>
      <c r="I564" s="466"/>
      <c r="J564" s="466"/>
      <c r="K564" s="466">
        <v>6</v>
      </c>
      <c r="L564" s="525">
        <f>9/2</f>
        <v>4.5</v>
      </c>
      <c r="M564" s="463">
        <v>16746</v>
      </c>
      <c r="N564" s="468" t="s">
        <v>4965</v>
      </c>
      <c r="O564" s="466">
        <v>3</v>
      </c>
      <c r="P564" s="523">
        <v>-1.75</v>
      </c>
      <c r="Q564" s="462">
        <v>1.0032407407407405E-3</v>
      </c>
      <c r="R564" s="463">
        <v>2183</v>
      </c>
      <c r="S564" s="466" t="s">
        <v>625</v>
      </c>
      <c r="T564" s="524"/>
      <c r="W564" s="460"/>
      <c r="AY564" s="486">
        <f t="shared" si="35"/>
        <v>2183</v>
      </c>
      <c r="AZ564" s="487" t="str">
        <f t="shared" si="36"/>
        <v/>
      </c>
      <c r="CH564" s="459"/>
    </row>
    <row r="565" spans="1:90" s="461" customFormat="1" ht="12" customHeight="1" x14ac:dyDescent="0.15">
      <c r="A565" s="522" t="s">
        <v>4967</v>
      </c>
      <c r="B565" s="467">
        <v>42533</v>
      </c>
      <c r="C565" s="468" t="s">
        <v>3370</v>
      </c>
      <c r="D565" s="468" t="s">
        <v>3902</v>
      </c>
      <c r="E565" s="468" t="s">
        <v>4712</v>
      </c>
      <c r="F565" s="468" t="s">
        <v>3685</v>
      </c>
      <c r="G565" s="466">
        <v>5</v>
      </c>
      <c r="H565" s="465">
        <v>7</v>
      </c>
      <c r="I565" s="466"/>
      <c r="J565" s="466"/>
      <c r="K565" s="466">
        <v>11</v>
      </c>
      <c r="L565" s="525">
        <v>15</v>
      </c>
      <c r="M565" s="463">
        <v>16746</v>
      </c>
      <c r="N565" s="468" t="s">
        <v>4966</v>
      </c>
      <c r="O565" s="466">
        <v>2</v>
      </c>
      <c r="P565" s="523">
        <v>-0.5</v>
      </c>
      <c r="Q565" s="462">
        <v>9.8067129629629633E-4</v>
      </c>
      <c r="R565" s="463">
        <v>3526</v>
      </c>
      <c r="S565" s="466" t="s">
        <v>625</v>
      </c>
      <c r="T565" s="524" t="s">
        <v>5024</v>
      </c>
      <c r="W565" s="460"/>
      <c r="AY565" s="486">
        <f t="shared" si="35"/>
        <v>3526</v>
      </c>
      <c r="AZ565" s="487" t="str">
        <f t="shared" si="36"/>
        <v/>
      </c>
      <c r="CH565" s="459"/>
    </row>
    <row r="566" spans="1:90" s="461" customFormat="1" ht="12" customHeight="1" x14ac:dyDescent="0.15">
      <c r="A566" s="522" t="s">
        <v>3470</v>
      </c>
      <c r="B566" s="467">
        <v>42533</v>
      </c>
      <c r="C566" s="468" t="s">
        <v>5034</v>
      </c>
      <c r="D566" s="468" t="s">
        <v>3472</v>
      </c>
      <c r="E566" s="468" t="s">
        <v>3683</v>
      </c>
      <c r="F566" s="468" t="s">
        <v>3685</v>
      </c>
      <c r="G566" s="466">
        <v>7</v>
      </c>
      <c r="H566" s="465">
        <v>5.5</v>
      </c>
      <c r="I566" s="466"/>
      <c r="J566" s="466"/>
      <c r="K566" s="466">
        <v>13</v>
      </c>
      <c r="L566" s="525">
        <f>8/5</f>
        <v>1.6</v>
      </c>
      <c r="M566" s="463">
        <v>3205</v>
      </c>
      <c r="N566" s="468" t="s">
        <v>3348</v>
      </c>
      <c r="O566" s="466">
        <v>6</v>
      </c>
      <c r="P566" s="523">
        <v>-6.75</v>
      </c>
      <c r="Q566" s="462">
        <v>7.7372685185185194E-4</v>
      </c>
      <c r="R566" s="463">
        <v>65</v>
      </c>
      <c r="S566" s="466" t="s">
        <v>625</v>
      </c>
      <c r="T566" s="524" t="s">
        <v>3714</v>
      </c>
      <c r="W566" s="460"/>
      <c r="AY566" s="486">
        <f t="shared" si="35"/>
        <v>65</v>
      </c>
      <c r="AZ566" s="487" t="str">
        <f t="shared" si="36"/>
        <v/>
      </c>
      <c r="CH566" s="459"/>
    </row>
    <row r="567" spans="1:90" s="461" customFormat="1" ht="12" customHeight="1" x14ac:dyDescent="0.15">
      <c r="A567" s="522" t="s">
        <v>58</v>
      </c>
      <c r="B567" s="467">
        <v>42533</v>
      </c>
      <c r="C567" s="468" t="s">
        <v>4774</v>
      </c>
      <c r="D567" s="468" t="s">
        <v>4245</v>
      </c>
      <c r="E567" s="468" t="s">
        <v>5008</v>
      </c>
      <c r="F567" s="468" t="s">
        <v>3300</v>
      </c>
      <c r="G567" s="466">
        <v>2</v>
      </c>
      <c r="H567" s="465">
        <v>8.5</v>
      </c>
      <c r="I567" s="466"/>
      <c r="J567" s="466"/>
      <c r="K567" s="466">
        <v>8</v>
      </c>
      <c r="L567" s="601">
        <f>7/2</f>
        <v>3.5</v>
      </c>
      <c r="M567" s="463">
        <v>15000</v>
      </c>
      <c r="N567" s="468" t="s">
        <v>197</v>
      </c>
      <c r="O567" s="466">
        <v>6</v>
      </c>
      <c r="P567" s="523">
        <v>-27.5</v>
      </c>
      <c r="Q567" s="462">
        <v>1.2378472222222224E-3</v>
      </c>
      <c r="R567" s="463">
        <v>500</v>
      </c>
      <c r="S567" s="466"/>
      <c r="T567" s="524"/>
      <c r="W567" s="460"/>
      <c r="AY567" s="486" t="str">
        <f t="shared" si="35"/>
        <v/>
      </c>
      <c r="AZ567" s="487" t="str">
        <f t="shared" si="36"/>
        <v/>
      </c>
      <c r="CH567" s="459"/>
    </row>
    <row r="568" spans="1:90" s="461" customFormat="1" ht="12" customHeight="1" x14ac:dyDescent="0.15">
      <c r="A568" s="522" t="s">
        <v>3158</v>
      </c>
      <c r="B568" s="467">
        <v>42533</v>
      </c>
      <c r="C568" s="468" t="s">
        <v>4170</v>
      </c>
      <c r="D568" s="468" t="s">
        <v>3705</v>
      </c>
      <c r="E568" s="468" t="s">
        <v>1623</v>
      </c>
      <c r="F568" s="468" t="s">
        <v>4171</v>
      </c>
      <c r="G568" s="466">
        <v>6</v>
      </c>
      <c r="H568" s="465">
        <v>8</v>
      </c>
      <c r="I568" s="466"/>
      <c r="J568" s="466"/>
      <c r="K568" s="466">
        <v>8</v>
      </c>
      <c r="L568" s="525">
        <v>4</v>
      </c>
      <c r="M568" s="463">
        <v>37000</v>
      </c>
      <c r="N568" s="468" t="s">
        <v>4211</v>
      </c>
      <c r="O568" s="466">
        <v>8</v>
      </c>
      <c r="P568" s="523">
        <v>-30</v>
      </c>
      <c r="Q568" s="462">
        <v>1.154050925925926E-3</v>
      </c>
      <c r="R568" s="463">
        <v>200</v>
      </c>
      <c r="S568" s="466"/>
      <c r="T568" s="524"/>
      <c r="W568" s="460"/>
      <c r="AY568" s="486" t="str">
        <f t="shared" si="35"/>
        <v/>
      </c>
      <c r="AZ568" s="487" t="str">
        <f t="shared" si="36"/>
        <v/>
      </c>
      <c r="CH568" s="459"/>
    </row>
    <row r="569" spans="1:90" s="461" customFormat="1" ht="12" customHeight="1" x14ac:dyDescent="0.15">
      <c r="A569" s="522" t="s">
        <v>3175</v>
      </c>
      <c r="B569" s="467">
        <v>42534</v>
      </c>
      <c r="C569" s="468" t="s">
        <v>5011</v>
      </c>
      <c r="D569" s="468" t="s">
        <v>5012</v>
      </c>
      <c r="E569" s="468" t="s">
        <v>5013</v>
      </c>
      <c r="F569" s="468" t="s">
        <v>4171</v>
      </c>
      <c r="G569" s="466">
        <v>2</v>
      </c>
      <c r="H569" s="465">
        <v>5.5</v>
      </c>
      <c r="I569" s="466"/>
      <c r="J569" s="466"/>
      <c r="K569" s="466">
        <v>7</v>
      </c>
      <c r="L569" s="525">
        <v>8</v>
      </c>
      <c r="M569" s="463">
        <v>30000</v>
      </c>
      <c r="N569" s="468" t="s">
        <v>4776</v>
      </c>
      <c r="O569" s="466">
        <v>2</v>
      </c>
      <c r="P569" s="523">
        <v>-4.75</v>
      </c>
      <c r="Q569" s="462">
        <v>7.7581018518518526E-4</v>
      </c>
      <c r="R569" s="463">
        <v>8400</v>
      </c>
      <c r="S569" s="466"/>
      <c r="T569" s="524"/>
      <c r="W569" s="460"/>
      <c r="AY569" s="486" t="str">
        <f t="shared" si="35"/>
        <v/>
      </c>
      <c r="AZ569" s="487" t="str">
        <f t="shared" si="36"/>
        <v/>
      </c>
      <c r="CH569" s="459"/>
    </row>
    <row r="570" spans="1:90" s="461" customFormat="1" ht="12" customHeight="1" x14ac:dyDescent="0.15">
      <c r="A570" s="522" t="s">
        <v>2121</v>
      </c>
      <c r="B570" s="467">
        <v>42534</v>
      </c>
      <c r="C570" s="468" t="s">
        <v>5015</v>
      </c>
      <c r="D570" s="468" t="s">
        <v>5016</v>
      </c>
      <c r="E570" s="468" t="s">
        <v>5017</v>
      </c>
      <c r="F570" s="468" t="s">
        <v>4171</v>
      </c>
      <c r="G570" s="466">
        <v>3</v>
      </c>
      <c r="H570" s="465">
        <v>5.5</v>
      </c>
      <c r="I570" s="466"/>
      <c r="J570" s="466"/>
      <c r="K570" s="466">
        <v>10</v>
      </c>
      <c r="L570" s="525">
        <f>5/2</f>
        <v>2.5</v>
      </c>
      <c r="M570" s="463">
        <v>18000</v>
      </c>
      <c r="N570" s="468" t="s">
        <v>5014</v>
      </c>
      <c r="O570" s="466">
        <v>2</v>
      </c>
      <c r="P570" s="555" t="s">
        <v>4111</v>
      </c>
      <c r="Q570" s="462">
        <v>7.8263888888888882E-4</v>
      </c>
      <c r="R570" s="463">
        <v>5040</v>
      </c>
      <c r="S570" s="466"/>
      <c r="T570" s="524" t="s">
        <v>3714</v>
      </c>
      <c r="W570" s="460"/>
      <c r="AY570" s="486" t="str">
        <f t="shared" si="35"/>
        <v/>
      </c>
      <c r="AZ570" s="487" t="str">
        <f t="shared" si="36"/>
        <v/>
      </c>
      <c r="CH570" s="459"/>
    </row>
    <row r="571" spans="1:90" s="469" customFormat="1" ht="12" customHeight="1" x14ac:dyDescent="0.15">
      <c r="A571" s="444" t="s">
        <v>3266</v>
      </c>
      <c r="B571" s="445">
        <v>42534</v>
      </c>
      <c r="C571" s="446" t="s">
        <v>4333</v>
      </c>
      <c r="D571" s="446" t="s">
        <v>3705</v>
      </c>
      <c r="E571" s="446" t="s">
        <v>3856</v>
      </c>
      <c r="F571" s="446" t="s">
        <v>4171</v>
      </c>
      <c r="G571" s="447">
        <v>6</v>
      </c>
      <c r="H571" s="448">
        <v>5</v>
      </c>
      <c r="I571" s="447" t="s">
        <v>3730</v>
      </c>
      <c r="J571" s="447"/>
      <c r="K571" s="447">
        <v>10</v>
      </c>
      <c r="L571" s="449">
        <v>2</v>
      </c>
      <c r="M571" s="450">
        <v>37000</v>
      </c>
      <c r="N571" s="446" t="s">
        <v>4211</v>
      </c>
      <c r="O571" s="447">
        <v>1</v>
      </c>
      <c r="P571" s="451">
        <v>3.25</v>
      </c>
      <c r="Q571" s="452">
        <v>6.7037037037037033E-4</v>
      </c>
      <c r="R571" s="450">
        <v>22200</v>
      </c>
      <c r="S571" s="447"/>
      <c r="T571" s="453" t="s">
        <v>3714</v>
      </c>
      <c r="U571" s="454"/>
      <c r="V571" s="454"/>
      <c r="W571" s="455"/>
      <c r="X571" s="454"/>
      <c r="Y571" s="454"/>
      <c r="Z571" s="454"/>
      <c r="AA571" s="454"/>
      <c r="AB571" s="454"/>
      <c r="AC571" s="454"/>
      <c r="AD571" s="454"/>
      <c r="AE571" s="454"/>
      <c r="AF571" s="454"/>
      <c r="AG571" s="454"/>
      <c r="AH571" s="454"/>
      <c r="AI571" s="454"/>
      <c r="AJ571" s="454"/>
      <c r="AK571" s="454"/>
      <c r="AL571" s="454"/>
      <c r="AM571" s="454"/>
      <c r="AN571" s="454"/>
      <c r="AO571" s="454"/>
      <c r="AP571" s="454"/>
      <c r="AQ571" s="454"/>
      <c r="AR571" s="454"/>
      <c r="AS571" s="454"/>
      <c r="AT571" s="454"/>
      <c r="AU571" s="454"/>
      <c r="AV571" s="454"/>
      <c r="AW571" s="454"/>
      <c r="AX571" s="454"/>
      <c r="AY571" s="486" t="str">
        <f t="shared" si="35"/>
        <v/>
      </c>
      <c r="AZ571" s="487">
        <f t="shared" si="36"/>
        <v>1</v>
      </c>
      <c r="BA571" s="454"/>
      <c r="BB571" s="454"/>
      <c r="BC571" s="454"/>
      <c r="BD571" s="454"/>
      <c r="BE571" s="454"/>
      <c r="BF571" s="454"/>
      <c r="BG571" s="454"/>
      <c r="BH571" s="454"/>
      <c r="BI571" s="454"/>
      <c r="BJ571" s="454"/>
      <c r="BK571" s="454"/>
      <c r="BL571" s="454"/>
      <c r="BM571" s="454"/>
      <c r="BN571" s="454"/>
      <c r="BO571" s="454"/>
      <c r="BP571" s="454"/>
      <c r="BQ571" s="454"/>
      <c r="BR571" s="454"/>
      <c r="BS571" s="454"/>
      <c r="BT571" s="454"/>
      <c r="BU571" s="454"/>
      <c r="BV571" s="454"/>
      <c r="BW571" s="454"/>
      <c r="BX571" s="454"/>
      <c r="BY571" s="454"/>
      <c r="BZ571" s="454"/>
      <c r="CA571" s="454"/>
      <c r="CB571" s="454"/>
      <c r="CC571" s="454"/>
      <c r="CD571" s="454"/>
      <c r="CE571" s="454"/>
      <c r="CF571" s="454"/>
      <c r="CG571" s="454"/>
      <c r="CH571" s="456"/>
      <c r="CI571" s="454"/>
      <c r="CJ571" s="454"/>
      <c r="CK571" s="454"/>
      <c r="CL571" s="454"/>
    </row>
    <row r="572" spans="1:90" s="461" customFormat="1" ht="12" customHeight="1" x14ac:dyDescent="0.15">
      <c r="A572" s="522" t="s">
        <v>2177</v>
      </c>
      <c r="B572" s="467">
        <v>42534</v>
      </c>
      <c r="C572" s="468" t="s">
        <v>1805</v>
      </c>
      <c r="D572" s="468" t="s">
        <v>3855</v>
      </c>
      <c r="E572" s="468" t="s">
        <v>4600</v>
      </c>
      <c r="F572" s="468" t="s">
        <v>4171</v>
      </c>
      <c r="G572" s="466">
        <v>6</v>
      </c>
      <c r="H572" s="465">
        <v>5</v>
      </c>
      <c r="I572" s="466" t="s">
        <v>3730</v>
      </c>
      <c r="J572" s="466"/>
      <c r="K572" s="466">
        <v>10</v>
      </c>
      <c r="L572" s="525">
        <v>15</v>
      </c>
      <c r="M572" s="463">
        <v>37000</v>
      </c>
      <c r="N572" s="468" t="s">
        <v>4211</v>
      </c>
      <c r="O572" s="466">
        <v>6</v>
      </c>
      <c r="P572" s="523">
        <v>-7</v>
      </c>
      <c r="Q572" s="462">
        <v>6.7037037037037033E-4</v>
      </c>
      <c r="R572" s="463">
        <v>200</v>
      </c>
      <c r="S572" s="466"/>
      <c r="T572" s="524"/>
      <c r="W572" s="460"/>
      <c r="AY572" s="486" t="str">
        <f t="shared" si="35"/>
        <v/>
      </c>
      <c r="AZ572" s="487" t="str">
        <f t="shared" si="36"/>
        <v/>
      </c>
      <c r="CH572" s="459"/>
    </row>
    <row r="573" spans="1:90" s="461" customFormat="1" ht="12" customHeight="1" x14ac:dyDescent="0.15">
      <c r="A573" s="522" t="s">
        <v>2164</v>
      </c>
      <c r="B573" s="467">
        <v>42534</v>
      </c>
      <c r="C573" s="468" t="s">
        <v>3701</v>
      </c>
      <c r="D573" s="468" t="s">
        <v>3702</v>
      </c>
      <c r="E573" s="468" t="s">
        <v>3796</v>
      </c>
      <c r="F573" s="468" t="s">
        <v>4171</v>
      </c>
      <c r="G573" s="466">
        <v>7</v>
      </c>
      <c r="H573" s="465">
        <v>5</v>
      </c>
      <c r="I573" s="466" t="s">
        <v>3730</v>
      </c>
      <c r="J573" s="466"/>
      <c r="K573" s="466">
        <v>8</v>
      </c>
      <c r="L573" s="525">
        <v>12</v>
      </c>
      <c r="M573" s="463">
        <v>54000</v>
      </c>
      <c r="N573" s="468" t="s">
        <v>4486</v>
      </c>
      <c r="O573" s="466">
        <v>7</v>
      </c>
      <c r="P573" s="523">
        <v>-6</v>
      </c>
      <c r="Q573" s="462">
        <v>6.5694444444444437E-4</v>
      </c>
      <c r="R573" s="463">
        <v>500</v>
      </c>
      <c r="S573" s="466"/>
      <c r="T573" s="524"/>
      <c r="W573" s="460"/>
      <c r="AY573" s="486" t="str">
        <f t="shared" si="35"/>
        <v/>
      </c>
      <c r="AZ573" s="487" t="str">
        <f t="shared" si="36"/>
        <v/>
      </c>
      <c r="CH573" s="459"/>
    </row>
    <row r="574" spans="1:90" s="461" customFormat="1" ht="12" customHeight="1" x14ac:dyDescent="0.15">
      <c r="A574" s="522" t="s">
        <v>3178</v>
      </c>
      <c r="B574" s="467">
        <v>42534</v>
      </c>
      <c r="C574" s="468" t="s">
        <v>2268</v>
      </c>
      <c r="D574" s="468" t="s">
        <v>4224</v>
      </c>
      <c r="E574" s="468" t="s">
        <v>4628</v>
      </c>
      <c r="F574" s="468" t="s">
        <v>4171</v>
      </c>
      <c r="G574" s="466">
        <v>8</v>
      </c>
      <c r="H574" s="465">
        <v>8.5</v>
      </c>
      <c r="I574" s="466"/>
      <c r="J574" s="466"/>
      <c r="K574" s="466">
        <v>8</v>
      </c>
      <c r="L574" s="525">
        <v>12</v>
      </c>
      <c r="M574" s="463">
        <v>51000</v>
      </c>
      <c r="N574" s="468" t="s">
        <v>5000</v>
      </c>
      <c r="O574" s="466">
        <v>6</v>
      </c>
      <c r="P574" s="523">
        <v>-10.75</v>
      </c>
      <c r="Q574" s="462">
        <v>1.2148148148148148E-3</v>
      </c>
      <c r="R574" s="463">
        <v>500</v>
      </c>
      <c r="S574" s="466"/>
      <c r="T574" s="524"/>
      <c r="W574" s="460"/>
      <c r="AY574" s="486" t="str">
        <f t="shared" si="35"/>
        <v/>
      </c>
      <c r="AZ574" s="487" t="str">
        <f t="shared" si="36"/>
        <v/>
      </c>
      <c r="CH574" s="459"/>
    </row>
    <row r="575" spans="1:90" s="469" customFormat="1" ht="12" customHeight="1" x14ac:dyDescent="0.15">
      <c r="A575" s="444" t="s">
        <v>2166</v>
      </c>
      <c r="B575" s="445">
        <v>42534</v>
      </c>
      <c r="C575" s="446" t="s">
        <v>4886</v>
      </c>
      <c r="D575" s="446" t="s">
        <v>4884</v>
      </c>
      <c r="E575" s="446" t="s">
        <v>4993</v>
      </c>
      <c r="F575" s="446" t="s">
        <v>4828</v>
      </c>
      <c r="G575" s="447">
        <v>8</v>
      </c>
      <c r="H575" s="448">
        <v>6.5</v>
      </c>
      <c r="I575" s="447" t="s">
        <v>1360</v>
      </c>
      <c r="J575" s="447"/>
      <c r="K575" s="447">
        <v>4</v>
      </c>
      <c r="L575" s="449">
        <f>7/5</f>
        <v>1.4</v>
      </c>
      <c r="M575" s="450">
        <v>17000</v>
      </c>
      <c r="N575" s="446" t="s">
        <v>4720</v>
      </c>
      <c r="O575" s="447">
        <v>1</v>
      </c>
      <c r="P575" s="451">
        <v>2.75</v>
      </c>
      <c r="Q575" s="452">
        <v>8.9178240740740743E-4</v>
      </c>
      <c r="R575" s="450">
        <v>13260</v>
      </c>
      <c r="S575" s="447"/>
      <c r="T575" s="453"/>
      <c r="U575" s="454"/>
      <c r="V575" s="454"/>
      <c r="W575" s="455"/>
      <c r="X575" s="454"/>
      <c r="Y575" s="454"/>
      <c r="Z575" s="454"/>
      <c r="AA575" s="454"/>
      <c r="AB575" s="454"/>
      <c r="AC575" s="454"/>
      <c r="AD575" s="454"/>
      <c r="AE575" s="454"/>
      <c r="AF575" s="454"/>
      <c r="AG575" s="454"/>
      <c r="AH575" s="454"/>
      <c r="AI575" s="454"/>
      <c r="AJ575" s="454"/>
      <c r="AK575" s="454"/>
      <c r="AL575" s="454"/>
      <c r="AM575" s="454"/>
      <c r="AN575" s="454"/>
      <c r="AO575" s="454"/>
      <c r="AP575" s="454"/>
      <c r="AQ575" s="454"/>
      <c r="AR575" s="454"/>
      <c r="AS575" s="454"/>
      <c r="AT575" s="454"/>
      <c r="AU575" s="454"/>
      <c r="AV575" s="454"/>
      <c r="AW575" s="454"/>
      <c r="AX575" s="454"/>
      <c r="AY575" s="486" t="str">
        <f t="shared" si="35"/>
        <v/>
      </c>
      <c r="AZ575" s="487">
        <f t="shared" si="36"/>
        <v>1</v>
      </c>
      <c r="BA575" s="454"/>
      <c r="BB575" s="454"/>
      <c r="BC575" s="454"/>
      <c r="BD575" s="454"/>
      <c r="BE575" s="454"/>
      <c r="BF575" s="454"/>
      <c r="BG575" s="454"/>
      <c r="BH575" s="454"/>
      <c r="BI575" s="454"/>
      <c r="BJ575" s="454"/>
      <c r="BK575" s="454"/>
      <c r="BL575" s="454"/>
      <c r="BM575" s="454"/>
      <c r="BN575" s="454"/>
      <c r="BO575" s="454"/>
      <c r="BP575" s="454"/>
      <c r="BQ575" s="454"/>
      <c r="BR575" s="454"/>
      <c r="BS575" s="454"/>
      <c r="BT575" s="454"/>
      <c r="BU575" s="454"/>
      <c r="BV575" s="454"/>
      <c r="BW575" s="454"/>
      <c r="BX575" s="454"/>
      <c r="BY575" s="454"/>
      <c r="BZ575" s="454"/>
      <c r="CA575" s="454"/>
      <c r="CB575" s="454"/>
      <c r="CC575" s="454"/>
      <c r="CD575" s="454"/>
      <c r="CE575" s="454"/>
      <c r="CF575" s="454"/>
      <c r="CG575" s="454"/>
      <c r="CH575" s="456"/>
      <c r="CI575" s="454"/>
      <c r="CJ575" s="454"/>
      <c r="CK575" s="454"/>
      <c r="CL575" s="454"/>
    </row>
    <row r="576" spans="1:90" s="461" customFormat="1" ht="12" customHeight="1" x14ac:dyDescent="0.15">
      <c r="A576" s="522" t="s">
        <v>1381</v>
      </c>
      <c r="B576" s="467">
        <v>42535</v>
      </c>
      <c r="C576" s="468" t="s">
        <v>4512</v>
      </c>
      <c r="D576" s="468" t="s">
        <v>4511</v>
      </c>
      <c r="E576" s="468" t="s">
        <v>5002</v>
      </c>
      <c r="F576" s="468" t="s">
        <v>4828</v>
      </c>
      <c r="G576" s="466">
        <v>1</v>
      </c>
      <c r="H576" s="465">
        <v>5.5</v>
      </c>
      <c r="I576" s="466" t="s">
        <v>1360</v>
      </c>
      <c r="J576" s="466"/>
      <c r="K576" s="466">
        <v>12</v>
      </c>
      <c r="L576" s="525">
        <v>10</v>
      </c>
      <c r="M576" s="463">
        <v>10000</v>
      </c>
      <c r="N576" s="468" t="s">
        <v>197</v>
      </c>
      <c r="O576" s="466">
        <v>7</v>
      </c>
      <c r="P576" s="523">
        <v>-5.25</v>
      </c>
      <c r="Q576" s="462">
        <v>7.5405092592592592E-4</v>
      </c>
      <c r="R576" s="463">
        <v>200</v>
      </c>
      <c r="S576" s="466"/>
      <c r="T576" s="524"/>
      <c r="W576" s="460"/>
      <c r="AY576" s="486" t="str">
        <f t="shared" si="35"/>
        <v/>
      </c>
      <c r="AZ576" s="487" t="str">
        <f t="shared" si="36"/>
        <v/>
      </c>
      <c r="CH576" s="459"/>
    </row>
    <row r="577" spans="1:86" s="461" customFormat="1" ht="12" customHeight="1" x14ac:dyDescent="0.15">
      <c r="A577" s="522" t="s">
        <v>2227</v>
      </c>
      <c r="B577" s="467">
        <v>42536</v>
      </c>
      <c r="C577" s="468" t="s">
        <v>3756</v>
      </c>
      <c r="D577" s="468" t="s">
        <v>3757</v>
      </c>
      <c r="E577" s="468" t="s">
        <v>4349</v>
      </c>
      <c r="F577" s="468" t="s">
        <v>2376</v>
      </c>
      <c r="G577" s="466">
        <v>2</v>
      </c>
      <c r="H577" s="465">
        <v>8.3000000000000007</v>
      </c>
      <c r="I577" s="466" t="s">
        <v>3730</v>
      </c>
      <c r="J577" s="466"/>
      <c r="K577" s="466">
        <v>7</v>
      </c>
      <c r="L577" s="525">
        <v>10</v>
      </c>
      <c r="M577" s="463">
        <v>33300</v>
      </c>
      <c r="N577" s="468" t="s">
        <v>4578</v>
      </c>
      <c r="O577" s="466">
        <v>4</v>
      </c>
      <c r="P577" s="523">
        <v>-14</v>
      </c>
      <c r="Q577" s="462">
        <v>1.1290509259259259E-3</v>
      </c>
      <c r="R577" s="463">
        <v>1998</v>
      </c>
      <c r="S577" s="466"/>
      <c r="T577" s="524"/>
      <c r="W577" s="460"/>
      <c r="AY577" s="486" t="str">
        <f t="shared" si="35"/>
        <v/>
      </c>
      <c r="AZ577" s="487" t="str">
        <f t="shared" si="36"/>
        <v/>
      </c>
      <c r="CH577" s="459"/>
    </row>
    <row r="578" spans="1:86" s="461" customFormat="1" ht="12" customHeight="1" x14ac:dyDescent="0.15">
      <c r="A578" s="522" t="s">
        <v>2176</v>
      </c>
      <c r="B578" s="467">
        <v>42536</v>
      </c>
      <c r="C578" s="468" t="s">
        <v>4594</v>
      </c>
      <c r="D578" s="468" t="s">
        <v>4595</v>
      </c>
      <c r="E578" s="468" t="s">
        <v>4596</v>
      </c>
      <c r="F578" s="468" t="s">
        <v>2376</v>
      </c>
      <c r="G578" s="466">
        <v>8</v>
      </c>
      <c r="H578" s="465">
        <v>5.5</v>
      </c>
      <c r="I578" s="466"/>
      <c r="J578" s="466"/>
      <c r="K578" s="466">
        <v>12</v>
      </c>
      <c r="L578" s="525">
        <f>7/2</f>
        <v>3.5</v>
      </c>
      <c r="M578" s="463">
        <v>10500</v>
      </c>
      <c r="N578" s="468" t="s">
        <v>4897</v>
      </c>
      <c r="O578" s="466">
        <v>8</v>
      </c>
      <c r="P578" s="523">
        <v>-15</v>
      </c>
      <c r="Q578" s="462">
        <v>7.7060185185185174E-4</v>
      </c>
      <c r="R578" s="463">
        <v>0</v>
      </c>
      <c r="S578" s="466"/>
      <c r="T578" s="524" t="s">
        <v>3755</v>
      </c>
      <c r="W578" s="460"/>
      <c r="AY578" s="486" t="str">
        <f t="shared" si="35"/>
        <v/>
      </c>
      <c r="AZ578" s="487" t="str">
        <f t="shared" si="36"/>
        <v/>
      </c>
      <c r="CH578" s="459"/>
    </row>
    <row r="579" spans="1:86" s="461" customFormat="1" ht="12" customHeight="1" x14ac:dyDescent="0.15">
      <c r="A579" s="522" t="s">
        <v>42</v>
      </c>
      <c r="B579" s="467">
        <v>42537</v>
      </c>
      <c r="C579" s="468" t="s">
        <v>3765</v>
      </c>
      <c r="D579" s="468" t="s">
        <v>3764</v>
      </c>
      <c r="E579" s="468" t="s">
        <v>4948</v>
      </c>
      <c r="F579" s="468" t="s">
        <v>775</v>
      </c>
      <c r="G579" s="466">
        <v>2</v>
      </c>
      <c r="H579" s="465">
        <v>8</v>
      </c>
      <c r="I579" s="466" t="s">
        <v>3730</v>
      </c>
      <c r="J579" s="466"/>
      <c r="K579" s="466">
        <v>7</v>
      </c>
      <c r="L579" s="506">
        <v>12</v>
      </c>
      <c r="M579" s="463">
        <v>6000</v>
      </c>
      <c r="N579" s="468" t="s">
        <v>4924</v>
      </c>
      <c r="O579" s="466">
        <v>5</v>
      </c>
      <c r="P579" s="523">
        <v>-6.5</v>
      </c>
      <c r="Q579" s="462">
        <v>1.1307870370370371E-3</v>
      </c>
      <c r="R579" s="463">
        <v>270</v>
      </c>
      <c r="S579" s="466"/>
      <c r="T579" s="524"/>
      <c r="W579" s="460"/>
      <c r="AY579" s="486" t="str">
        <f t="shared" si="35"/>
        <v/>
      </c>
      <c r="AZ579" s="487" t="str">
        <f t="shared" si="36"/>
        <v/>
      </c>
      <c r="CH579" s="459"/>
    </row>
    <row r="580" spans="1:86" s="469" customFormat="1" ht="12" customHeight="1" x14ac:dyDescent="0.15">
      <c r="A580" s="471" t="s">
        <v>2157</v>
      </c>
      <c r="B580" s="472">
        <v>42537</v>
      </c>
      <c r="C580" s="471" t="s">
        <v>4944</v>
      </c>
      <c r="D580" s="471" t="s">
        <v>4941</v>
      </c>
      <c r="E580" s="471" t="s">
        <v>5025</v>
      </c>
      <c r="F580" s="471" t="s">
        <v>2376</v>
      </c>
      <c r="G580" s="473">
        <v>3</v>
      </c>
      <c r="H580" s="474">
        <v>8.3000000000000007</v>
      </c>
      <c r="I580" s="475" t="s">
        <v>3730</v>
      </c>
      <c r="J580" s="475"/>
      <c r="K580" s="473">
        <v>12</v>
      </c>
      <c r="L580" s="458">
        <v>8</v>
      </c>
      <c r="M580" s="476">
        <v>33300</v>
      </c>
      <c r="N580" s="471" t="s">
        <v>4211</v>
      </c>
      <c r="O580" s="477" t="s">
        <v>431</v>
      </c>
      <c r="P580" s="478" t="s">
        <v>431</v>
      </c>
      <c r="Q580" s="479" t="s">
        <v>431</v>
      </c>
      <c r="R580" s="480" t="s">
        <v>431</v>
      </c>
      <c r="S580" s="477"/>
      <c r="T580" s="481" t="s">
        <v>4423</v>
      </c>
      <c r="U580" s="482"/>
      <c r="V580" s="482"/>
      <c r="W580" s="483"/>
      <c r="X580" s="482"/>
      <c r="Y580" s="482"/>
      <c r="Z580" s="482"/>
      <c r="AA580" s="482"/>
      <c r="AB580" s="482"/>
      <c r="AC580" s="482"/>
      <c r="AD580" s="482"/>
      <c r="AE580" s="482"/>
      <c r="AF580" s="482"/>
      <c r="AG580" s="482"/>
      <c r="AH580" s="482"/>
      <c r="AI580" s="482"/>
      <c r="AJ580" s="482"/>
      <c r="AK580" s="482"/>
      <c r="AL580" s="482"/>
      <c r="AM580" s="482"/>
      <c r="AN580" s="482"/>
      <c r="AO580" s="482"/>
      <c r="AP580" s="482"/>
      <c r="AQ580" s="482"/>
      <c r="AR580" s="482"/>
      <c r="AS580" s="482"/>
      <c r="AT580" s="482"/>
      <c r="AU580" s="482"/>
      <c r="AV580" s="482"/>
      <c r="AW580" s="482"/>
      <c r="AX580" s="482"/>
      <c r="AY580" s="486" t="str">
        <f t="shared" si="35"/>
        <v/>
      </c>
      <c r="AZ580" s="487" t="str">
        <f t="shared" si="36"/>
        <v/>
      </c>
      <c r="BA580" s="482"/>
      <c r="BB580" s="482"/>
      <c r="BC580" s="482"/>
      <c r="BD580" s="482"/>
      <c r="BE580" s="482"/>
      <c r="BF580" s="482"/>
      <c r="BG580" s="482"/>
      <c r="BH580" s="482"/>
      <c r="BI580" s="482"/>
      <c r="BJ580" s="482"/>
      <c r="BK580" s="482"/>
      <c r="BL580" s="482"/>
      <c r="BM580" s="482"/>
      <c r="BN580" s="482"/>
      <c r="BO580" s="482"/>
      <c r="BP580" s="482"/>
      <c r="BQ580" s="482"/>
      <c r="BR580" s="482"/>
      <c r="BS580" s="482"/>
      <c r="BT580" s="482"/>
      <c r="BU580" s="482"/>
      <c r="BV580" s="482"/>
      <c r="BW580" s="482"/>
      <c r="BX580" s="482"/>
      <c r="BY580" s="482"/>
      <c r="BZ580" s="482"/>
      <c r="CA580" s="482"/>
      <c r="CB580" s="482"/>
      <c r="CC580" s="482"/>
      <c r="CD580" s="482"/>
      <c r="CE580" s="482"/>
      <c r="CF580" s="482"/>
      <c r="CG580" s="482"/>
      <c r="CH580" s="484"/>
    </row>
    <row r="581" spans="1:86" s="461" customFormat="1" ht="12" customHeight="1" x14ac:dyDescent="0.15">
      <c r="A581" s="522" t="s">
        <v>2343</v>
      </c>
      <c r="B581" s="467">
        <v>42538</v>
      </c>
      <c r="C581" s="468" t="s">
        <v>4767</v>
      </c>
      <c r="D581" s="468" t="s">
        <v>4768</v>
      </c>
      <c r="E581" s="468" t="s">
        <v>4851</v>
      </c>
      <c r="F581" s="468" t="s">
        <v>3300</v>
      </c>
      <c r="G581" s="466">
        <v>1</v>
      </c>
      <c r="H581" s="465">
        <v>18</v>
      </c>
      <c r="I581" s="466" t="s">
        <v>3730</v>
      </c>
      <c r="J581" s="466"/>
      <c r="K581" s="466">
        <v>10</v>
      </c>
      <c r="L581" s="506">
        <f>7/2</f>
        <v>3.5</v>
      </c>
      <c r="M581" s="463">
        <v>30000</v>
      </c>
      <c r="N581" s="468" t="s">
        <v>4838</v>
      </c>
      <c r="O581" s="466">
        <v>3</v>
      </c>
      <c r="P581" s="523">
        <v>-14.75</v>
      </c>
      <c r="Q581" s="462">
        <v>3.0785879629629631E-3</v>
      </c>
      <c r="R581" s="463">
        <v>3000</v>
      </c>
      <c r="S581" s="466"/>
      <c r="T581" s="524" t="s">
        <v>3755</v>
      </c>
      <c r="W581" s="460"/>
      <c r="AY581" s="486" t="str">
        <f t="shared" si="35"/>
        <v/>
      </c>
      <c r="AZ581" s="487" t="str">
        <f t="shared" si="36"/>
        <v/>
      </c>
      <c r="CH581" s="459"/>
    </row>
    <row r="582" spans="1:86" s="461" customFormat="1" ht="12" customHeight="1" x14ac:dyDescent="0.15">
      <c r="A582" s="522" t="s">
        <v>2218</v>
      </c>
      <c r="B582" s="467">
        <v>42538</v>
      </c>
      <c r="C582" s="468" t="s">
        <v>4663</v>
      </c>
      <c r="D582" s="468" t="s">
        <v>4664</v>
      </c>
      <c r="E582" s="468" t="s">
        <v>3878</v>
      </c>
      <c r="F582" s="468" t="s">
        <v>1153</v>
      </c>
      <c r="G582" s="466">
        <v>4</v>
      </c>
      <c r="H582" s="465">
        <v>5</v>
      </c>
      <c r="I582" s="466" t="s">
        <v>3730</v>
      </c>
      <c r="J582" s="466" t="s">
        <v>961</v>
      </c>
      <c r="K582" s="466">
        <v>9</v>
      </c>
      <c r="L582" s="506">
        <f>7/2</f>
        <v>3.5</v>
      </c>
      <c r="M582" s="463">
        <v>22000</v>
      </c>
      <c r="N582" s="468" t="s">
        <v>4752</v>
      </c>
      <c r="O582" s="466">
        <v>2</v>
      </c>
      <c r="P582" s="523">
        <v>-0.5</v>
      </c>
      <c r="Q582" s="462">
        <v>6.8240740740740751E-4</v>
      </c>
      <c r="R582" s="463">
        <v>4620</v>
      </c>
      <c r="S582" s="466"/>
      <c r="T582" s="524"/>
      <c r="W582" s="460"/>
      <c r="AY582" s="486" t="str">
        <f t="shared" si="35"/>
        <v/>
      </c>
      <c r="AZ582" s="487" t="str">
        <f t="shared" si="36"/>
        <v/>
      </c>
      <c r="CH582" s="459"/>
    </row>
    <row r="583" spans="1:86" s="461" customFormat="1" ht="12" customHeight="1" x14ac:dyDescent="0.15">
      <c r="A583" s="522" t="s">
        <v>4621</v>
      </c>
      <c r="B583" s="467">
        <v>42538</v>
      </c>
      <c r="C583" s="468" t="s">
        <v>4908</v>
      </c>
      <c r="D583" s="468" t="s">
        <v>3892</v>
      </c>
      <c r="E583" s="468" t="s">
        <v>4909</v>
      </c>
      <c r="F583" s="468" t="s">
        <v>540</v>
      </c>
      <c r="G583" s="466">
        <v>5</v>
      </c>
      <c r="H583" s="465">
        <v>5</v>
      </c>
      <c r="I583" s="466" t="s">
        <v>3730</v>
      </c>
      <c r="J583" s="466"/>
      <c r="K583" s="466">
        <v>10</v>
      </c>
      <c r="L583" s="506">
        <v>8</v>
      </c>
      <c r="M583" s="463">
        <v>18000</v>
      </c>
      <c r="N583" s="468" t="s">
        <v>4910</v>
      </c>
      <c r="O583" s="466">
        <v>4</v>
      </c>
      <c r="P583" s="523">
        <v>-2.75</v>
      </c>
      <c r="Q583" s="462">
        <v>6.5428240740740735E-4</v>
      </c>
      <c r="R583" s="463">
        <v>800</v>
      </c>
      <c r="S583" s="466"/>
      <c r="T583" s="524"/>
      <c r="W583" s="460"/>
      <c r="AY583" s="486" t="str">
        <f t="shared" si="35"/>
        <v/>
      </c>
      <c r="AZ583" s="487" t="str">
        <f t="shared" si="36"/>
        <v/>
      </c>
      <c r="CH583" s="459"/>
    </row>
    <row r="584" spans="1:86" s="461" customFormat="1" ht="12" customHeight="1" x14ac:dyDescent="0.15">
      <c r="A584" s="522" t="s">
        <v>3203</v>
      </c>
      <c r="B584" s="467">
        <v>42538</v>
      </c>
      <c r="C584" s="468" t="s">
        <v>4855</v>
      </c>
      <c r="D584" s="468" t="s">
        <v>4856</v>
      </c>
      <c r="E584" s="468" t="s">
        <v>4857</v>
      </c>
      <c r="F584" s="468" t="s">
        <v>5049</v>
      </c>
      <c r="G584" s="466">
        <v>6</v>
      </c>
      <c r="H584" s="465">
        <v>8.5</v>
      </c>
      <c r="I584" s="466" t="s">
        <v>3730</v>
      </c>
      <c r="J584" s="466"/>
      <c r="K584" s="466">
        <v>7</v>
      </c>
      <c r="L584" s="506">
        <v>6</v>
      </c>
      <c r="M584" s="463">
        <v>43494</v>
      </c>
      <c r="N584" s="468" t="s">
        <v>4636</v>
      </c>
      <c r="O584" s="466">
        <v>5</v>
      </c>
      <c r="P584" s="523">
        <v>-5.5</v>
      </c>
      <c r="Q584" s="462">
        <v>1.1732638888888888E-3</v>
      </c>
      <c r="R584" s="463">
        <v>1552</v>
      </c>
      <c r="S584" s="466"/>
      <c r="T584" s="524"/>
      <c r="W584" s="460"/>
      <c r="AY584" s="486" t="str">
        <f t="shared" si="35"/>
        <v/>
      </c>
      <c r="AZ584" s="487" t="str">
        <f t="shared" si="36"/>
        <v/>
      </c>
      <c r="CH584" s="459"/>
    </row>
    <row r="585" spans="1:86" s="461" customFormat="1" ht="12" customHeight="1" x14ac:dyDescent="0.15">
      <c r="A585" s="522" t="s">
        <v>4294</v>
      </c>
      <c r="B585" s="467">
        <v>42538</v>
      </c>
      <c r="C585" s="468" t="s">
        <v>3951</v>
      </c>
      <c r="D585" s="468" t="s">
        <v>3725</v>
      </c>
      <c r="E585" s="468" t="s">
        <v>3684</v>
      </c>
      <c r="F585" s="468" t="s">
        <v>3686</v>
      </c>
      <c r="G585" s="466">
        <v>1</v>
      </c>
      <c r="H585" s="465">
        <v>6</v>
      </c>
      <c r="I585" s="466"/>
      <c r="J585" s="466"/>
      <c r="K585" s="466">
        <v>8</v>
      </c>
      <c r="L585" s="506">
        <v>8</v>
      </c>
      <c r="M585" s="463">
        <v>9207</v>
      </c>
      <c r="N585" s="468" t="s">
        <v>3955</v>
      </c>
      <c r="O585" s="466">
        <v>4</v>
      </c>
      <c r="P585" s="523">
        <v>-10.25</v>
      </c>
      <c r="Q585" s="462">
        <v>8.3518518518518501E-4</v>
      </c>
      <c r="R585" s="463">
        <v>558</v>
      </c>
      <c r="S585" s="466" t="s">
        <v>625</v>
      </c>
      <c r="T585" s="524"/>
      <c r="W585" s="460"/>
      <c r="AY585" s="486">
        <f t="shared" si="35"/>
        <v>558</v>
      </c>
      <c r="AZ585" s="487" t="str">
        <f t="shared" si="36"/>
        <v/>
      </c>
      <c r="CH585" s="459"/>
    </row>
    <row r="586" spans="1:86" s="461" customFormat="1" ht="12" customHeight="1" x14ac:dyDescent="0.15">
      <c r="A586" s="522" t="s">
        <v>3470</v>
      </c>
      <c r="B586" s="467">
        <v>42538</v>
      </c>
      <c r="C586" s="468" t="s">
        <v>5034</v>
      </c>
      <c r="D586" s="468" t="s">
        <v>3472</v>
      </c>
      <c r="E586" s="468" t="s">
        <v>3683</v>
      </c>
      <c r="F586" s="468" t="s">
        <v>3686</v>
      </c>
      <c r="G586" s="466">
        <v>5</v>
      </c>
      <c r="H586" s="465">
        <v>5.5</v>
      </c>
      <c r="I586" s="466"/>
      <c r="J586" s="466"/>
      <c r="K586" s="466">
        <v>11</v>
      </c>
      <c r="L586" s="525">
        <f>9/2</f>
        <v>4.5</v>
      </c>
      <c r="M586" s="463">
        <v>5584</v>
      </c>
      <c r="N586" s="468" t="s">
        <v>3348</v>
      </c>
      <c r="O586" s="466">
        <v>6</v>
      </c>
      <c r="P586" s="523">
        <v>-12</v>
      </c>
      <c r="Q586" s="462">
        <v>7.5520833333333332E-4</v>
      </c>
      <c r="R586" s="463">
        <v>99</v>
      </c>
      <c r="S586" s="466" t="s">
        <v>625</v>
      </c>
      <c r="T586" s="524"/>
      <c r="W586" s="460"/>
      <c r="AY586" s="486">
        <f t="shared" si="35"/>
        <v>99</v>
      </c>
      <c r="AZ586" s="487" t="str">
        <f t="shared" si="36"/>
        <v/>
      </c>
      <c r="CH586" s="459"/>
    </row>
    <row r="587" spans="1:86" s="461" customFormat="1" ht="12" customHeight="1" x14ac:dyDescent="0.15">
      <c r="A587" s="522" t="s">
        <v>1557</v>
      </c>
      <c r="B587" s="467">
        <v>42538</v>
      </c>
      <c r="C587" s="468" t="s">
        <v>4250</v>
      </c>
      <c r="D587" s="468" t="s">
        <v>4247</v>
      </c>
      <c r="E587" s="468" t="s">
        <v>5029</v>
      </c>
      <c r="F587" s="468" t="s">
        <v>256</v>
      </c>
      <c r="G587" s="466">
        <v>2</v>
      </c>
      <c r="H587" s="465">
        <v>6</v>
      </c>
      <c r="I587" s="466"/>
      <c r="J587" s="466"/>
      <c r="K587" s="466">
        <v>6</v>
      </c>
      <c r="L587" s="506">
        <v>3</v>
      </c>
      <c r="M587" s="463">
        <v>12000</v>
      </c>
      <c r="N587" s="468" t="s">
        <v>197</v>
      </c>
      <c r="O587" s="466">
        <v>4</v>
      </c>
      <c r="P587" s="523">
        <v>-3.75</v>
      </c>
      <c r="Q587" s="462">
        <v>7.5648148148148135E-4</v>
      </c>
      <c r="R587" s="463">
        <v>595</v>
      </c>
      <c r="S587" s="466"/>
      <c r="T587" s="524" t="s">
        <v>3755</v>
      </c>
      <c r="W587" s="460"/>
      <c r="AY587" s="486" t="str">
        <f t="shared" si="35"/>
        <v/>
      </c>
      <c r="AZ587" s="487" t="str">
        <f t="shared" si="36"/>
        <v/>
      </c>
      <c r="CH587" s="459"/>
    </row>
    <row r="588" spans="1:86" s="461" customFormat="1" ht="12" customHeight="1" x14ac:dyDescent="0.15">
      <c r="A588" s="522" t="s">
        <v>1534</v>
      </c>
      <c r="B588" s="467">
        <v>42539</v>
      </c>
      <c r="C588" s="468" t="s">
        <v>4825</v>
      </c>
      <c r="D588" s="468" t="s">
        <v>4934</v>
      </c>
      <c r="E588" s="468" t="s">
        <v>4819</v>
      </c>
      <c r="F588" s="468" t="s">
        <v>4171</v>
      </c>
      <c r="G588" s="466">
        <v>2</v>
      </c>
      <c r="H588" s="465">
        <v>8.3000000000000007</v>
      </c>
      <c r="I588" s="466"/>
      <c r="J588" s="466"/>
      <c r="K588" s="466">
        <v>10</v>
      </c>
      <c r="L588" s="506">
        <f>9/2</f>
        <v>4.5</v>
      </c>
      <c r="M588" s="463">
        <v>19000</v>
      </c>
      <c r="N588" s="468" t="s">
        <v>3762</v>
      </c>
      <c r="O588" s="466">
        <v>6</v>
      </c>
      <c r="P588" s="523">
        <v>-20.25</v>
      </c>
      <c r="Q588" s="462">
        <v>1.2061342592592592E-3</v>
      </c>
      <c r="R588" s="463">
        <v>250</v>
      </c>
      <c r="S588" s="466"/>
      <c r="T588" s="524"/>
      <c r="W588" s="460"/>
      <c r="AY588" s="486" t="str">
        <f t="shared" si="35"/>
        <v/>
      </c>
      <c r="AZ588" s="487" t="str">
        <f t="shared" si="36"/>
        <v/>
      </c>
      <c r="CH588" s="459"/>
    </row>
    <row r="589" spans="1:86" s="461" customFormat="1" ht="12" customHeight="1" x14ac:dyDescent="0.15">
      <c r="A589" s="522" t="s">
        <v>4003</v>
      </c>
      <c r="B589" s="467">
        <v>42539</v>
      </c>
      <c r="C589" s="468" t="s">
        <v>4004</v>
      </c>
      <c r="D589" s="468" t="s">
        <v>4005</v>
      </c>
      <c r="E589" s="468" t="s">
        <v>4977</v>
      </c>
      <c r="F589" s="468" t="s">
        <v>3686</v>
      </c>
      <c r="G589" s="466">
        <v>2</v>
      </c>
      <c r="H589" s="465">
        <v>6</v>
      </c>
      <c r="I589" s="466"/>
      <c r="J589" s="466"/>
      <c r="K589" s="466">
        <v>8</v>
      </c>
      <c r="L589" s="465" t="s">
        <v>431</v>
      </c>
      <c r="M589" s="463">
        <v>9207</v>
      </c>
      <c r="N589" s="468" t="s">
        <v>3955</v>
      </c>
      <c r="O589" s="466">
        <v>4</v>
      </c>
      <c r="P589" s="523">
        <v>-4.5</v>
      </c>
      <c r="Q589" s="462">
        <v>8.3692129629629644E-4</v>
      </c>
      <c r="R589" s="463">
        <v>558</v>
      </c>
      <c r="S589" s="466" t="s">
        <v>625</v>
      </c>
      <c r="T589" s="524"/>
      <c r="W589" s="460"/>
      <c r="AY589" s="486">
        <f t="shared" si="35"/>
        <v>558</v>
      </c>
      <c r="AZ589" s="487" t="str">
        <f t="shared" si="36"/>
        <v/>
      </c>
      <c r="CH589" s="459"/>
    </row>
    <row r="590" spans="1:86" s="461" customFormat="1" ht="12" customHeight="1" x14ac:dyDescent="0.15">
      <c r="A590" s="522" t="s">
        <v>4301</v>
      </c>
      <c r="B590" s="467">
        <v>42539</v>
      </c>
      <c r="C590" s="468" t="s">
        <v>2744</v>
      </c>
      <c r="D590" s="468" t="s">
        <v>3832</v>
      </c>
      <c r="E590" s="468" t="s">
        <v>3846</v>
      </c>
      <c r="F590" s="468" t="s">
        <v>3686</v>
      </c>
      <c r="G590" s="466">
        <v>3</v>
      </c>
      <c r="H590" s="465">
        <v>6</v>
      </c>
      <c r="I590" s="466"/>
      <c r="J590" s="466"/>
      <c r="K590" s="466">
        <v>9</v>
      </c>
      <c r="L590" s="465" t="s">
        <v>431</v>
      </c>
      <c r="M590" s="463">
        <v>9207</v>
      </c>
      <c r="N590" s="468" t="s">
        <v>3955</v>
      </c>
      <c r="O590" s="466">
        <v>2</v>
      </c>
      <c r="P590" s="523">
        <v>-3.5</v>
      </c>
      <c r="Q590" s="462">
        <v>8.2627314814814814E-4</v>
      </c>
      <c r="R590" s="463">
        <v>1926</v>
      </c>
      <c r="S590" s="466" t="s">
        <v>625</v>
      </c>
      <c r="T590" s="524"/>
      <c r="W590" s="460"/>
      <c r="AY590" s="486">
        <f t="shared" si="35"/>
        <v>1926</v>
      </c>
      <c r="AZ590" s="487" t="str">
        <f t="shared" si="36"/>
        <v/>
      </c>
      <c r="CH590" s="459"/>
    </row>
    <row r="591" spans="1:86" s="461" customFormat="1" ht="12" customHeight="1" x14ac:dyDescent="0.15">
      <c r="A591" s="522" t="s">
        <v>3829</v>
      </c>
      <c r="B591" s="467">
        <v>42539</v>
      </c>
      <c r="C591" s="468" t="s">
        <v>2744</v>
      </c>
      <c r="D591" s="468" t="s">
        <v>3832</v>
      </c>
      <c r="E591" s="468" t="s">
        <v>3846</v>
      </c>
      <c r="F591" s="468" t="s">
        <v>3686</v>
      </c>
      <c r="G591" s="466">
        <v>6</v>
      </c>
      <c r="H591" s="465">
        <v>7.5</v>
      </c>
      <c r="I591" s="466"/>
      <c r="J591" s="466"/>
      <c r="K591" s="466">
        <v>11</v>
      </c>
      <c r="L591" s="465" t="s">
        <v>431</v>
      </c>
      <c r="M591" s="463">
        <v>6223</v>
      </c>
      <c r="N591" s="468" t="s">
        <v>3653</v>
      </c>
      <c r="O591" s="466">
        <v>2</v>
      </c>
      <c r="P591" s="523">
        <v>-3</v>
      </c>
      <c r="Q591" s="462">
        <v>1.0509259259259259E-3</v>
      </c>
      <c r="R591" s="463">
        <v>1326</v>
      </c>
      <c r="S591" s="466" t="s">
        <v>625</v>
      </c>
      <c r="T591" s="524"/>
      <c r="W591" s="460"/>
      <c r="AY591" s="486">
        <f t="shared" si="35"/>
        <v>1326</v>
      </c>
      <c r="AZ591" s="487" t="str">
        <f t="shared" si="36"/>
        <v/>
      </c>
      <c r="CH591" s="459"/>
    </row>
    <row r="592" spans="1:86" s="461" customFormat="1" ht="12" customHeight="1" x14ac:dyDescent="0.15">
      <c r="A592" s="522" t="s">
        <v>4583</v>
      </c>
      <c r="B592" s="467">
        <v>42539</v>
      </c>
      <c r="C592" s="468" t="s">
        <v>2744</v>
      </c>
      <c r="D592" s="468" t="s">
        <v>3832</v>
      </c>
      <c r="E592" s="468" t="s">
        <v>3846</v>
      </c>
      <c r="F592" s="468" t="s">
        <v>3686</v>
      </c>
      <c r="G592" s="466">
        <v>10</v>
      </c>
      <c r="H592" s="465">
        <v>6.5</v>
      </c>
      <c r="I592" s="466"/>
      <c r="J592" s="466"/>
      <c r="K592" s="466">
        <v>14</v>
      </c>
      <c r="L592" s="465" t="s">
        <v>431</v>
      </c>
      <c r="M592" s="463">
        <v>6905</v>
      </c>
      <c r="N592" s="468" t="s">
        <v>3225</v>
      </c>
      <c r="O592" s="466">
        <v>6</v>
      </c>
      <c r="P592" s="523">
        <v>-4</v>
      </c>
      <c r="Q592" s="462">
        <v>8.8912037037037041E-4</v>
      </c>
      <c r="R592" s="463">
        <v>99</v>
      </c>
      <c r="S592" s="466" t="s">
        <v>625</v>
      </c>
      <c r="T592" s="524"/>
      <c r="W592" s="460"/>
      <c r="AY592" s="486">
        <f t="shared" si="35"/>
        <v>99</v>
      </c>
      <c r="AZ592" s="487" t="str">
        <f t="shared" si="36"/>
        <v/>
      </c>
      <c r="CH592" s="459"/>
    </row>
    <row r="593" spans="1:86" s="461" customFormat="1" ht="12" customHeight="1" x14ac:dyDescent="0.15">
      <c r="A593" s="522" t="s">
        <v>4010</v>
      </c>
      <c r="B593" s="467">
        <v>42539</v>
      </c>
      <c r="C593" s="468" t="s">
        <v>4015</v>
      </c>
      <c r="D593" s="468" t="s">
        <v>4016</v>
      </c>
      <c r="E593" s="468" t="s">
        <v>3957</v>
      </c>
      <c r="F593" s="468" t="s">
        <v>3686</v>
      </c>
      <c r="G593" s="466">
        <v>11</v>
      </c>
      <c r="H593" s="465">
        <v>6.5</v>
      </c>
      <c r="I593" s="466"/>
      <c r="J593" s="466"/>
      <c r="K593" s="466">
        <v>14</v>
      </c>
      <c r="L593" s="465" t="s">
        <v>431</v>
      </c>
      <c r="M593" s="463">
        <v>6905</v>
      </c>
      <c r="N593" s="468" t="s">
        <v>3225</v>
      </c>
      <c r="O593" s="466">
        <v>4</v>
      </c>
      <c r="P593" s="523">
        <v>-10.25</v>
      </c>
      <c r="Q593" s="462">
        <v>8.7731481481481482E-4</v>
      </c>
      <c r="R593" s="463">
        <v>420</v>
      </c>
      <c r="S593" s="466" t="s">
        <v>625</v>
      </c>
      <c r="T593" s="524"/>
      <c r="W593" s="460"/>
      <c r="AY593" s="486">
        <f t="shared" si="35"/>
        <v>420</v>
      </c>
      <c r="AZ593" s="487" t="str">
        <f t="shared" si="36"/>
        <v/>
      </c>
      <c r="CH593" s="459"/>
    </row>
    <row r="594" spans="1:86" s="461" customFormat="1" ht="12" customHeight="1" x14ac:dyDescent="0.15">
      <c r="A594" s="522" t="s">
        <v>1816</v>
      </c>
      <c r="B594" s="467">
        <v>42539</v>
      </c>
      <c r="C594" s="468" t="s">
        <v>3704</v>
      </c>
      <c r="D594" s="468" t="s">
        <v>3705</v>
      </c>
      <c r="E594" s="468" t="s">
        <v>4741</v>
      </c>
      <c r="F594" s="468" t="s">
        <v>4171</v>
      </c>
      <c r="G594" s="466">
        <v>6</v>
      </c>
      <c r="H594" s="465">
        <v>7</v>
      </c>
      <c r="I594" s="466"/>
      <c r="J594" s="466"/>
      <c r="K594" s="466">
        <v>5</v>
      </c>
      <c r="L594" s="506">
        <v>5</v>
      </c>
      <c r="M594" s="463">
        <v>100000</v>
      </c>
      <c r="N594" s="468" t="s">
        <v>5003</v>
      </c>
      <c r="O594" s="466">
        <v>5</v>
      </c>
      <c r="P594" s="523">
        <v>-8</v>
      </c>
      <c r="Q594" s="462">
        <v>9.5254629629629628E-4</v>
      </c>
      <c r="R594" s="463">
        <v>3000</v>
      </c>
      <c r="S594" s="466"/>
      <c r="T594" s="524"/>
      <c r="W594" s="460"/>
      <c r="AY594" s="486" t="str">
        <f t="shared" si="35"/>
        <v/>
      </c>
      <c r="AZ594" s="487" t="str">
        <f t="shared" si="36"/>
        <v/>
      </c>
      <c r="CH594" s="459"/>
    </row>
    <row r="595" spans="1:86" s="461" customFormat="1" ht="12" customHeight="1" x14ac:dyDescent="0.15">
      <c r="A595" s="522" t="s">
        <v>21</v>
      </c>
      <c r="B595" s="467">
        <v>42539</v>
      </c>
      <c r="C595" s="468" t="s">
        <v>5027</v>
      </c>
      <c r="D595" s="468" t="s">
        <v>5028</v>
      </c>
      <c r="E595" s="468" t="s">
        <v>4036</v>
      </c>
      <c r="F595" s="468" t="s">
        <v>775</v>
      </c>
      <c r="G595" s="466">
        <v>4</v>
      </c>
      <c r="H595" s="465">
        <v>7.5</v>
      </c>
      <c r="I595" s="466" t="s">
        <v>3730</v>
      </c>
      <c r="J595" s="466"/>
      <c r="K595" s="466">
        <v>10</v>
      </c>
      <c r="L595" s="506">
        <v>3</v>
      </c>
      <c r="M595" s="463">
        <v>24000</v>
      </c>
      <c r="N595" s="468" t="s">
        <v>4542</v>
      </c>
      <c r="O595" s="466">
        <v>4</v>
      </c>
      <c r="P595" s="523">
        <v>-4.5</v>
      </c>
      <c r="Q595" s="462">
        <v>9.8113425925925929E-4</v>
      </c>
      <c r="R595" s="463">
        <v>1440</v>
      </c>
      <c r="S595" s="466"/>
      <c r="T595" s="524" t="s">
        <v>5211</v>
      </c>
      <c r="W595" s="460"/>
      <c r="AY595" s="486" t="str">
        <f t="shared" si="35"/>
        <v/>
      </c>
      <c r="AZ595" s="487" t="str">
        <f t="shared" si="36"/>
        <v/>
      </c>
      <c r="CH595" s="459"/>
    </row>
    <row r="596" spans="1:86" s="461" customFormat="1" ht="12" customHeight="1" x14ac:dyDescent="0.15">
      <c r="A596" s="522" t="s">
        <v>1783</v>
      </c>
      <c r="B596" s="467">
        <v>42540</v>
      </c>
      <c r="C596" s="468" t="s">
        <v>4873</v>
      </c>
      <c r="D596" s="468" t="s">
        <v>4872</v>
      </c>
      <c r="E596" s="468" t="s">
        <v>5084</v>
      </c>
      <c r="F596" s="468" t="s">
        <v>4677</v>
      </c>
      <c r="G596" s="466">
        <v>2</v>
      </c>
      <c r="H596" s="465">
        <v>8</v>
      </c>
      <c r="I596" s="466"/>
      <c r="J596" s="466"/>
      <c r="K596" s="466">
        <v>9</v>
      </c>
      <c r="L596" s="464" t="s">
        <v>431</v>
      </c>
      <c r="M596" s="463">
        <v>233</v>
      </c>
      <c r="N596" s="468" t="s">
        <v>4296</v>
      </c>
      <c r="O596" s="466">
        <v>3</v>
      </c>
      <c r="P596" s="523">
        <v>-8</v>
      </c>
      <c r="Q596" s="462">
        <v>1.1840277777777778E-3</v>
      </c>
      <c r="R596" s="463">
        <v>39</v>
      </c>
      <c r="S596" s="466" t="s">
        <v>625</v>
      </c>
      <c r="T596" s="524"/>
      <c r="W596" s="460"/>
      <c r="AY596" s="486">
        <f t="shared" si="35"/>
        <v>39</v>
      </c>
      <c r="AZ596" s="487" t="str">
        <f t="shared" si="36"/>
        <v/>
      </c>
      <c r="CH596" s="459"/>
    </row>
    <row r="597" spans="1:86" s="469" customFormat="1" ht="12" customHeight="1" x14ac:dyDescent="0.15">
      <c r="A597" s="471" t="s">
        <v>5078</v>
      </c>
      <c r="B597" s="472">
        <v>42540</v>
      </c>
      <c r="C597" s="471" t="s">
        <v>3311</v>
      </c>
      <c r="D597" s="471" t="s">
        <v>5035</v>
      </c>
      <c r="E597" s="471" t="s">
        <v>3695</v>
      </c>
      <c r="F597" s="471" t="s">
        <v>3685</v>
      </c>
      <c r="G597" s="473">
        <v>4</v>
      </c>
      <c r="H597" s="474">
        <v>7</v>
      </c>
      <c r="I597" s="475"/>
      <c r="J597" s="475"/>
      <c r="K597" s="473">
        <v>10</v>
      </c>
      <c r="L597" s="458">
        <v>3</v>
      </c>
      <c r="M597" s="476">
        <v>5524</v>
      </c>
      <c r="N597" s="471" t="s">
        <v>4006</v>
      </c>
      <c r="O597" s="477" t="s">
        <v>431</v>
      </c>
      <c r="P597" s="478" t="s">
        <v>431</v>
      </c>
      <c r="Q597" s="479" t="s">
        <v>431</v>
      </c>
      <c r="R597" s="480" t="s">
        <v>431</v>
      </c>
      <c r="S597" s="477" t="s">
        <v>625</v>
      </c>
      <c r="T597" s="481" t="s">
        <v>3714</v>
      </c>
      <c r="U597" s="482"/>
      <c r="V597" s="482"/>
      <c r="W597" s="483"/>
      <c r="X597" s="482"/>
      <c r="Y597" s="482"/>
      <c r="Z597" s="482"/>
      <c r="AA597" s="482"/>
      <c r="AB597" s="482"/>
      <c r="AC597" s="482"/>
      <c r="AD597" s="482"/>
      <c r="AE597" s="482"/>
      <c r="AF597" s="482"/>
      <c r="AG597" s="482"/>
      <c r="AH597" s="482"/>
      <c r="AI597" s="482"/>
      <c r="AJ597" s="482"/>
      <c r="AK597" s="482"/>
      <c r="AL597" s="482"/>
      <c r="AM597" s="482"/>
      <c r="AN597" s="482"/>
      <c r="AO597" s="482"/>
      <c r="AP597" s="482"/>
      <c r="AQ597" s="482"/>
      <c r="AR597" s="482"/>
      <c r="AS597" s="482"/>
      <c r="AT597" s="482"/>
      <c r="AU597" s="482"/>
      <c r="AV597" s="482"/>
      <c r="AW597" s="482"/>
      <c r="AX597" s="482"/>
      <c r="AY597" s="486" t="str">
        <f t="shared" si="35"/>
        <v>--</v>
      </c>
      <c r="AZ597" s="487" t="str">
        <f t="shared" si="36"/>
        <v/>
      </c>
      <c r="BA597" s="482"/>
      <c r="BB597" s="482"/>
      <c r="BC597" s="482"/>
      <c r="BD597" s="482"/>
      <c r="BE597" s="482"/>
      <c r="BF597" s="482"/>
      <c r="BG597" s="482"/>
      <c r="BH597" s="482"/>
      <c r="BI597" s="482"/>
      <c r="BJ597" s="482"/>
      <c r="BK597" s="482"/>
      <c r="BL597" s="482"/>
      <c r="BM597" s="482"/>
      <c r="BN597" s="482"/>
      <c r="BO597" s="482"/>
      <c r="BP597" s="482"/>
      <c r="BQ597" s="482"/>
      <c r="BR597" s="482"/>
      <c r="BS597" s="482"/>
      <c r="BT597" s="482"/>
      <c r="BU597" s="482"/>
      <c r="BV597" s="482"/>
      <c r="BW597" s="482"/>
      <c r="BX597" s="482"/>
      <c r="BY597" s="482"/>
      <c r="BZ597" s="482"/>
      <c r="CA597" s="482"/>
      <c r="CB597" s="482"/>
      <c r="CC597" s="482"/>
      <c r="CD597" s="482"/>
      <c r="CE597" s="482"/>
      <c r="CF597" s="482"/>
      <c r="CG597" s="482"/>
      <c r="CH597" s="484"/>
    </row>
    <row r="598" spans="1:86" s="461" customFormat="1" ht="12" customHeight="1" x14ac:dyDescent="0.15">
      <c r="A598" s="522" t="s">
        <v>1539</v>
      </c>
      <c r="B598" s="467">
        <v>42540</v>
      </c>
      <c r="C598" s="468" t="s">
        <v>4976</v>
      </c>
      <c r="D598" s="468" t="s">
        <v>4969</v>
      </c>
      <c r="E598" s="468" t="s">
        <v>5060</v>
      </c>
      <c r="F598" s="468" t="s">
        <v>3300</v>
      </c>
      <c r="G598" s="466">
        <v>4</v>
      </c>
      <c r="H598" s="465">
        <v>8.3000000000000007</v>
      </c>
      <c r="I598" s="466"/>
      <c r="J598" s="466"/>
      <c r="K598" s="466">
        <v>7</v>
      </c>
      <c r="L598" s="506">
        <v>10</v>
      </c>
      <c r="M598" s="463">
        <v>15000</v>
      </c>
      <c r="N598" s="468" t="s">
        <v>197</v>
      </c>
      <c r="O598" s="466">
        <v>5</v>
      </c>
      <c r="P598" s="523">
        <v>-24.5</v>
      </c>
      <c r="Q598" s="462">
        <v>1.2120370370370371E-3</v>
      </c>
      <c r="R598" s="463">
        <v>500</v>
      </c>
      <c r="S598" s="466"/>
      <c r="T598" s="524"/>
      <c r="W598" s="460"/>
      <c r="AY598" s="486" t="str">
        <f t="shared" si="35"/>
        <v/>
      </c>
      <c r="AZ598" s="487" t="str">
        <f t="shared" si="36"/>
        <v/>
      </c>
      <c r="CH598" s="459"/>
    </row>
    <row r="599" spans="1:86" s="461" customFormat="1" ht="12" customHeight="1" x14ac:dyDescent="0.15">
      <c r="A599" s="522" t="s">
        <v>5036</v>
      </c>
      <c r="B599" s="467">
        <v>42540</v>
      </c>
      <c r="C599" s="468" t="s">
        <v>5038</v>
      </c>
      <c r="D599" s="468" t="s">
        <v>5037</v>
      </c>
      <c r="E599" s="468" t="s">
        <v>1310</v>
      </c>
      <c r="F599" s="468" t="s">
        <v>3685</v>
      </c>
      <c r="G599" s="466">
        <v>9</v>
      </c>
      <c r="H599" s="465">
        <v>5</v>
      </c>
      <c r="I599" s="466"/>
      <c r="J599" s="466"/>
      <c r="K599" s="466">
        <v>12</v>
      </c>
      <c r="L599" s="506">
        <f>9/2</f>
        <v>4.5</v>
      </c>
      <c r="M599" s="463">
        <v>5524</v>
      </c>
      <c r="N599" s="468" t="s">
        <v>4006</v>
      </c>
      <c r="O599" s="466">
        <v>11</v>
      </c>
      <c r="P599" s="523">
        <v>-23</v>
      </c>
      <c r="Q599" s="462">
        <v>7.7939814814814809E-4</v>
      </c>
      <c r="R599" s="463">
        <v>65</v>
      </c>
      <c r="S599" s="466" t="s">
        <v>625</v>
      </c>
      <c r="T599" s="524"/>
      <c r="W599" s="460"/>
      <c r="AY599" s="486">
        <f t="shared" si="35"/>
        <v>65</v>
      </c>
      <c r="AZ599" s="487" t="str">
        <f t="shared" si="36"/>
        <v/>
      </c>
      <c r="CH599" s="459"/>
    </row>
    <row r="600" spans="1:86" s="461" customFormat="1" ht="12" customHeight="1" x14ac:dyDescent="0.15">
      <c r="A600" s="522" t="s">
        <v>3455</v>
      </c>
      <c r="B600" s="467">
        <v>42540</v>
      </c>
      <c r="C600" s="468" t="s">
        <v>4525</v>
      </c>
      <c r="D600" s="468" t="s">
        <v>3485</v>
      </c>
      <c r="E600" s="468" t="s">
        <v>4536</v>
      </c>
      <c r="F600" s="468" t="s">
        <v>3685</v>
      </c>
      <c r="G600" s="466">
        <v>12</v>
      </c>
      <c r="H600" s="465">
        <v>6</v>
      </c>
      <c r="I600" s="466"/>
      <c r="J600" s="466"/>
      <c r="K600" s="466">
        <v>14</v>
      </c>
      <c r="L600" s="506">
        <f>7/2</f>
        <v>3.5</v>
      </c>
      <c r="M600" s="463">
        <v>3194</v>
      </c>
      <c r="N600" s="468" t="s">
        <v>5039</v>
      </c>
      <c r="O600" s="466">
        <v>3</v>
      </c>
      <c r="P600" s="523">
        <v>-2</v>
      </c>
      <c r="Q600" s="462">
        <v>8.6192129629629639E-4</v>
      </c>
      <c r="R600" s="463">
        <v>194</v>
      </c>
      <c r="S600" s="466" t="s">
        <v>625</v>
      </c>
      <c r="T600" s="524" t="s">
        <v>3755</v>
      </c>
      <c r="W600" s="460"/>
      <c r="AY600" s="486">
        <f t="shared" si="35"/>
        <v>194</v>
      </c>
      <c r="AZ600" s="487" t="str">
        <f t="shared" si="36"/>
        <v/>
      </c>
      <c r="CH600" s="459"/>
    </row>
    <row r="601" spans="1:86" s="461" customFormat="1" ht="12" customHeight="1" x14ac:dyDescent="0.15">
      <c r="A601" s="522" t="s">
        <v>3645</v>
      </c>
      <c r="B601" s="467">
        <v>42540</v>
      </c>
      <c r="C601" s="468" t="s">
        <v>5044</v>
      </c>
      <c r="D601" s="468" t="s">
        <v>5045</v>
      </c>
      <c r="E601" s="468" t="s">
        <v>5046</v>
      </c>
      <c r="F601" s="468" t="s">
        <v>4828</v>
      </c>
      <c r="G601" s="466">
        <v>3</v>
      </c>
      <c r="H601" s="465">
        <v>6.5</v>
      </c>
      <c r="I601" s="466" t="s">
        <v>1360</v>
      </c>
      <c r="J601" s="466"/>
      <c r="K601" s="466">
        <v>7</v>
      </c>
      <c r="L601" s="506">
        <v>8</v>
      </c>
      <c r="M601" s="463">
        <v>13000</v>
      </c>
      <c r="N601" s="468" t="s">
        <v>5047</v>
      </c>
      <c r="O601" s="466">
        <v>7</v>
      </c>
      <c r="P601" s="523">
        <v>-22</v>
      </c>
      <c r="Q601" s="462">
        <v>9.2233796296296302E-4</v>
      </c>
      <c r="R601" s="463">
        <v>200</v>
      </c>
      <c r="S601" s="466"/>
      <c r="T601" s="524"/>
      <c r="W601" s="460"/>
      <c r="AY601" s="486" t="str">
        <f t="shared" si="35"/>
        <v/>
      </c>
      <c r="AZ601" s="487" t="str">
        <f t="shared" si="36"/>
        <v/>
      </c>
      <c r="CH601" s="459"/>
    </row>
    <row r="602" spans="1:86" s="461" customFormat="1" ht="12" customHeight="1" x14ac:dyDescent="0.15">
      <c r="A602" s="522" t="s">
        <v>2278</v>
      </c>
      <c r="B602" s="467">
        <v>42541</v>
      </c>
      <c r="C602" s="468" t="s">
        <v>4747</v>
      </c>
      <c r="D602" s="468" t="s">
        <v>4742</v>
      </c>
      <c r="E602" s="468" t="s">
        <v>3298</v>
      </c>
      <c r="F602" s="468" t="s">
        <v>4828</v>
      </c>
      <c r="G602" s="466">
        <v>2</v>
      </c>
      <c r="H602" s="465">
        <v>6</v>
      </c>
      <c r="I602" s="466" t="s">
        <v>1360</v>
      </c>
      <c r="J602" s="466"/>
      <c r="K602" s="466">
        <v>8</v>
      </c>
      <c r="L602" s="506">
        <f>5/2</f>
        <v>2.5</v>
      </c>
      <c r="M602" s="463">
        <v>27000</v>
      </c>
      <c r="N602" s="468" t="s">
        <v>4211</v>
      </c>
      <c r="O602" s="466">
        <v>4</v>
      </c>
      <c r="P602" s="523">
        <v>-6.25</v>
      </c>
      <c r="Q602" s="462">
        <v>8.350694444444446E-4</v>
      </c>
      <c r="R602" s="463">
        <v>1350</v>
      </c>
      <c r="S602" s="466"/>
      <c r="T602" s="524" t="s">
        <v>3714</v>
      </c>
      <c r="W602" s="460"/>
      <c r="AY602" s="486" t="str">
        <f t="shared" si="35"/>
        <v/>
      </c>
      <c r="AZ602" s="487" t="str">
        <f t="shared" si="36"/>
        <v/>
      </c>
      <c r="CH602" s="459"/>
    </row>
    <row r="603" spans="1:86" s="469" customFormat="1" ht="12" customHeight="1" x14ac:dyDescent="0.15">
      <c r="A603" s="471" t="s">
        <v>3154</v>
      </c>
      <c r="B603" s="472">
        <v>42543</v>
      </c>
      <c r="C603" s="471" t="s">
        <v>4170</v>
      </c>
      <c r="D603" s="471" t="s">
        <v>3705</v>
      </c>
      <c r="E603" s="471" t="s">
        <v>3188</v>
      </c>
      <c r="F603" s="471" t="s">
        <v>881</v>
      </c>
      <c r="G603" s="473">
        <v>7</v>
      </c>
      <c r="H603" s="474">
        <v>8.5</v>
      </c>
      <c r="I603" s="475" t="s">
        <v>3730</v>
      </c>
      <c r="J603" s="475"/>
      <c r="K603" s="473">
        <v>8</v>
      </c>
      <c r="L603" s="485" t="s">
        <v>431</v>
      </c>
      <c r="M603" s="476">
        <v>50000</v>
      </c>
      <c r="N603" s="471" t="s">
        <v>5071</v>
      </c>
      <c r="O603" s="477" t="s">
        <v>431</v>
      </c>
      <c r="P603" s="478" t="s">
        <v>431</v>
      </c>
      <c r="Q603" s="479" t="s">
        <v>431</v>
      </c>
      <c r="R603" s="480" t="s">
        <v>431</v>
      </c>
      <c r="S603" s="477"/>
      <c r="T603" s="481" t="s">
        <v>4110</v>
      </c>
      <c r="U603" s="482"/>
      <c r="V603" s="482"/>
      <c r="W603" s="483"/>
      <c r="X603" s="482"/>
      <c r="Y603" s="482"/>
      <c r="Z603" s="482"/>
      <c r="AA603" s="482"/>
      <c r="AB603" s="482"/>
      <c r="AC603" s="482"/>
      <c r="AD603" s="482"/>
      <c r="AE603" s="482"/>
      <c r="AF603" s="482"/>
      <c r="AG603" s="482"/>
      <c r="AH603" s="482"/>
      <c r="AI603" s="482"/>
      <c r="AJ603" s="482"/>
      <c r="AK603" s="482"/>
      <c r="AL603" s="482"/>
      <c r="AM603" s="482"/>
      <c r="AN603" s="482"/>
      <c r="AO603" s="482"/>
      <c r="AP603" s="482"/>
      <c r="AQ603" s="482"/>
      <c r="AR603" s="482"/>
      <c r="AS603" s="482"/>
      <c r="AT603" s="482"/>
      <c r="AU603" s="482"/>
      <c r="AV603" s="482"/>
      <c r="AW603" s="482"/>
      <c r="AX603" s="482"/>
      <c r="AY603" s="486" t="str">
        <f t="shared" si="35"/>
        <v/>
      </c>
      <c r="AZ603" s="487" t="str">
        <f t="shared" si="36"/>
        <v/>
      </c>
      <c r="BA603" s="482"/>
      <c r="BB603" s="482"/>
      <c r="BC603" s="482"/>
      <c r="BD603" s="482"/>
      <c r="BE603" s="482"/>
      <c r="BF603" s="482"/>
      <c r="BG603" s="482"/>
      <c r="BH603" s="482"/>
      <c r="BI603" s="482"/>
      <c r="BJ603" s="482"/>
      <c r="BK603" s="482"/>
      <c r="BL603" s="482"/>
      <c r="BM603" s="482"/>
      <c r="BN603" s="482"/>
      <c r="BO603" s="482"/>
      <c r="BP603" s="482"/>
      <c r="BQ603" s="482"/>
      <c r="BR603" s="482"/>
      <c r="BS603" s="482"/>
      <c r="BT603" s="482"/>
      <c r="BU603" s="482"/>
      <c r="BV603" s="482"/>
      <c r="BW603" s="482"/>
      <c r="BX603" s="482"/>
      <c r="BY603" s="482"/>
      <c r="BZ603" s="482"/>
      <c r="CA603" s="482"/>
      <c r="CB603" s="482"/>
      <c r="CC603" s="482"/>
      <c r="CD603" s="482"/>
      <c r="CE603" s="482"/>
      <c r="CF603" s="482"/>
      <c r="CG603" s="482"/>
      <c r="CH603" s="484"/>
    </row>
    <row r="604" spans="1:86" s="461" customFormat="1" ht="12" customHeight="1" x14ac:dyDescent="0.15">
      <c r="A604" s="522" t="s">
        <v>36</v>
      </c>
      <c r="B604" s="467">
        <v>42543</v>
      </c>
      <c r="C604" s="468" t="s">
        <v>4563</v>
      </c>
      <c r="D604" s="468" t="s">
        <v>4564</v>
      </c>
      <c r="E604" s="468" t="s">
        <v>4036</v>
      </c>
      <c r="F604" s="468" t="s">
        <v>775</v>
      </c>
      <c r="G604" s="466">
        <v>2</v>
      </c>
      <c r="H604" s="465">
        <v>7</v>
      </c>
      <c r="I604" s="466"/>
      <c r="J604" s="466"/>
      <c r="K604" s="466">
        <v>9</v>
      </c>
      <c r="L604" s="506">
        <f>7/5</f>
        <v>1.4</v>
      </c>
      <c r="M604" s="463">
        <v>5500</v>
      </c>
      <c r="N604" s="468" t="s">
        <v>197</v>
      </c>
      <c r="O604" s="466">
        <v>5</v>
      </c>
      <c r="P604" s="523">
        <v>-7.25</v>
      </c>
      <c r="Q604" s="462">
        <v>9.8182870370370373E-4</v>
      </c>
      <c r="R604" s="463">
        <v>165</v>
      </c>
      <c r="S604" s="466"/>
      <c r="T604" s="524" t="s">
        <v>3714</v>
      </c>
      <c r="W604" s="460"/>
      <c r="AY604" s="486" t="str">
        <f t="shared" si="35"/>
        <v/>
      </c>
      <c r="AZ604" s="487" t="str">
        <f t="shared" si="36"/>
        <v/>
      </c>
      <c r="CH604" s="459"/>
    </row>
    <row r="605" spans="1:86" s="469" customFormat="1" ht="12" customHeight="1" x14ac:dyDescent="0.15">
      <c r="A605" s="471" t="s">
        <v>2478</v>
      </c>
      <c r="B605" s="472">
        <v>42543</v>
      </c>
      <c r="C605" s="471" t="s">
        <v>5072</v>
      </c>
      <c r="D605" s="471" t="s">
        <v>5073</v>
      </c>
      <c r="E605" s="471" t="s">
        <v>4246</v>
      </c>
      <c r="F605" s="471" t="s">
        <v>433</v>
      </c>
      <c r="G605" s="473">
        <v>9</v>
      </c>
      <c r="H605" s="474">
        <v>6</v>
      </c>
      <c r="I605" s="475" t="s">
        <v>3730</v>
      </c>
      <c r="J605" s="475"/>
      <c r="K605" s="473">
        <v>14</v>
      </c>
      <c r="L605" s="458">
        <v>2</v>
      </c>
      <c r="M605" s="476">
        <v>41000</v>
      </c>
      <c r="N605" s="471" t="s">
        <v>4945</v>
      </c>
      <c r="O605" s="477" t="s">
        <v>431</v>
      </c>
      <c r="P605" s="478" t="s">
        <v>431</v>
      </c>
      <c r="Q605" s="479" t="s">
        <v>431</v>
      </c>
      <c r="R605" s="480" t="s">
        <v>431</v>
      </c>
      <c r="S605" s="477"/>
      <c r="T605" s="481" t="s">
        <v>5095</v>
      </c>
      <c r="U605" s="482"/>
      <c r="V605" s="482"/>
      <c r="W605" s="483"/>
      <c r="X605" s="482"/>
      <c r="Y605" s="482"/>
      <c r="Z605" s="482"/>
      <c r="AA605" s="482"/>
      <c r="AB605" s="482"/>
      <c r="AC605" s="482"/>
      <c r="AD605" s="482"/>
      <c r="AE605" s="482"/>
      <c r="AF605" s="482"/>
      <c r="AG605" s="482"/>
      <c r="AH605" s="482"/>
      <c r="AI605" s="482"/>
      <c r="AJ605" s="482"/>
      <c r="AK605" s="482"/>
      <c r="AL605" s="482"/>
      <c r="AM605" s="482"/>
      <c r="AN605" s="482"/>
      <c r="AO605" s="482"/>
      <c r="AP605" s="482"/>
      <c r="AQ605" s="482"/>
      <c r="AR605" s="482"/>
      <c r="AS605" s="482"/>
      <c r="AT605" s="482"/>
      <c r="AU605" s="482"/>
      <c r="AV605" s="482"/>
      <c r="AW605" s="482"/>
      <c r="AX605" s="482"/>
      <c r="AY605" s="486" t="str">
        <f t="shared" si="35"/>
        <v/>
      </c>
      <c r="AZ605" s="487" t="str">
        <f t="shared" si="36"/>
        <v/>
      </c>
      <c r="BA605" s="482"/>
      <c r="BB605" s="482"/>
      <c r="BC605" s="482"/>
      <c r="BD605" s="482"/>
      <c r="BE605" s="482"/>
      <c r="BF605" s="482"/>
      <c r="BG605" s="482"/>
      <c r="BH605" s="482"/>
      <c r="BI605" s="482"/>
      <c r="BJ605" s="482"/>
      <c r="BK605" s="482"/>
      <c r="BL605" s="482"/>
      <c r="BM605" s="482"/>
      <c r="BN605" s="482"/>
      <c r="BO605" s="482"/>
      <c r="BP605" s="482"/>
      <c r="BQ605" s="482"/>
      <c r="BR605" s="482"/>
      <c r="BS605" s="482"/>
      <c r="BT605" s="482"/>
      <c r="BU605" s="482"/>
      <c r="BV605" s="482"/>
      <c r="BW605" s="482"/>
      <c r="BX605" s="482"/>
      <c r="BY605" s="482"/>
      <c r="BZ605" s="482"/>
      <c r="CA605" s="482"/>
      <c r="CB605" s="482"/>
      <c r="CC605" s="482"/>
      <c r="CD605" s="482"/>
      <c r="CE605" s="482"/>
      <c r="CF605" s="482"/>
      <c r="CG605" s="482"/>
      <c r="CH605" s="484"/>
    </row>
    <row r="606" spans="1:86" s="461" customFormat="1" ht="12" customHeight="1" x14ac:dyDescent="0.15">
      <c r="A606" s="522" t="s">
        <v>2364</v>
      </c>
      <c r="B606" s="467">
        <v>42543</v>
      </c>
      <c r="C606" s="468" t="s">
        <v>3922</v>
      </c>
      <c r="D606" s="468" t="s">
        <v>3923</v>
      </c>
      <c r="E606" s="468" t="s">
        <v>3857</v>
      </c>
      <c r="F606" s="468" t="s">
        <v>4828</v>
      </c>
      <c r="G606" s="466">
        <v>6</v>
      </c>
      <c r="H606" s="465">
        <v>5.5</v>
      </c>
      <c r="I606" s="466" t="s">
        <v>1360</v>
      </c>
      <c r="J606" s="466"/>
      <c r="K606" s="466">
        <v>7</v>
      </c>
      <c r="L606" s="506">
        <v>8</v>
      </c>
      <c r="M606" s="463">
        <v>28000</v>
      </c>
      <c r="N606" s="468" t="s">
        <v>4578</v>
      </c>
      <c r="O606" s="466">
        <v>5</v>
      </c>
      <c r="P606" s="523">
        <v>-5</v>
      </c>
      <c r="Q606" s="462">
        <v>7.4803240740740733E-4</v>
      </c>
      <c r="R606" s="463">
        <v>700</v>
      </c>
      <c r="S606" s="466"/>
      <c r="T606" s="524"/>
      <c r="W606" s="460"/>
      <c r="AY606" s="486" t="str">
        <f t="shared" si="35"/>
        <v/>
      </c>
      <c r="AZ606" s="487" t="str">
        <f t="shared" si="36"/>
        <v/>
      </c>
      <c r="CH606" s="459"/>
    </row>
    <row r="607" spans="1:86" s="461" customFormat="1" ht="12" customHeight="1" x14ac:dyDescent="0.15">
      <c r="A607" s="522" t="s">
        <v>3318</v>
      </c>
      <c r="B607" s="467">
        <v>42544</v>
      </c>
      <c r="C607" s="468" t="s">
        <v>4630</v>
      </c>
      <c r="D607" s="468" t="s">
        <v>4631</v>
      </c>
      <c r="E607" s="468" t="s">
        <v>5074</v>
      </c>
      <c r="F607" s="468" t="s">
        <v>2332</v>
      </c>
      <c r="G607" s="466">
        <v>1</v>
      </c>
      <c r="H607" s="465">
        <v>5</v>
      </c>
      <c r="I607" s="466"/>
      <c r="J607" s="466"/>
      <c r="K607" s="466">
        <v>7</v>
      </c>
      <c r="L607" s="506">
        <v>10</v>
      </c>
      <c r="M607" s="463">
        <v>13000</v>
      </c>
      <c r="N607" s="468" t="s">
        <v>4633</v>
      </c>
      <c r="O607" s="466">
        <v>3</v>
      </c>
      <c r="P607" s="523">
        <v>-3.75</v>
      </c>
      <c r="Q607" s="462">
        <v>6.8900462962962958E-4</v>
      </c>
      <c r="R607" s="463">
        <v>1300</v>
      </c>
      <c r="S607" s="466"/>
      <c r="T607" s="524"/>
      <c r="W607" s="460"/>
      <c r="AY607" s="486" t="str">
        <f t="shared" si="35"/>
        <v/>
      </c>
      <c r="AZ607" s="487" t="str">
        <f t="shared" si="36"/>
        <v/>
      </c>
      <c r="CH607" s="459"/>
    </row>
    <row r="608" spans="1:86" s="461" customFormat="1" ht="12" customHeight="1" x14ac:dyDescent="0.15">
      <c r="A608" s="522" t="s">
        <v>2170</v>
      </c>
      <c r="B608" s="467">
        <v>42544</v>
      </c>
      <c r="C608" s="468" t="s">
        <v>4903</v>
      </c>
      <c r="D608" s="468" t="s">
        <v>4904</v>
      </c>
      <c r="E608" s="468" t="s">
        <v>3967</v>
      </c>
      <c r="F608" s="468" t="s">
        <v>1153</v>
      </c>
      <c r="G608" s="466">
        <v>2</v>
      </c>
      <c r="H608" s="465">
        <v>6</v>
      </c>
      <c r="I608" s="466"/>
      <c r="J608" s="466"/>
      <c r="K608" s="466">
        <v>7</v>
      </c>
      <c r="L608" s="506">
        <f>4/5</f>
        <v>0.8</v>
      </c>
      <c r="M608" s="463">
        <v>15000</v>
      </c>
      <c r="N608" s="468" t="s">
        <v>197</v>
      </c>
      <c r="O608" s="466">
        <v>5</v>
      </c>
      <c r="P608" s="523">
        <v>-8.5</v>
      </c>
      <c r="Q608" s="462">
        <v>8.3692129629629644E-4</v>
      </c>
      <c r="R608" s="463">
        <v>450</v>
      </c>
      <c r="S608" s="466"/>
      <c r="T608" s="524" t="s">
        <v>5498</v>
      </c>
      <c r="W608" s="460"/>
      <c r="AY608" s="486" t="str">
        <f t="shared" ref="AY608:AY615" si="37">IF(S608="","",R608)</f>
        <v/>
      </c>
      <c r="AZ608" s="487" t="str">
        <f t="shared" ref="AZ608:AZ628" si="38">IF(F608="Pleasant Meadows","",IF(L608="","",IF(O608="--","",IF(O608=1,1,""))))</f>
        <v/>
      </c>
      <c r="CH608" s="459"/>
    </row>
    <row r="609" spans="1:90" s="461" customFormat="1" ht="12" customHeight="1" x14ac:dyDescent="0.15">
      <c r="A609" s="522" t="s">
        <v>3899</v>
      </c>
      <c r="B609" s="467">
        <v>42544</v>
      </c>
      <c r="C609" s="468" t="s">
        <v>4943</v>
      </c>
      <c r="D609" s="468" t="s">
        <v>4494</v>
      </c>
      <c r="E609" s="468" t="s">
        <v>4309</v>
      </c>
      <c r="F609" s="468" t="s">
        <v>540</v>
      </c>
      <c r="G609" s="466">
        <v>9</v>
      </c>
      <c r="H609" s="465">
        <v>8</v>
      </c>
      <c r="I609" s="466" t="s">
        <v>3730</v>
      </c>
      <c r="J609" s="466"/>
      <c r="K609" s="466">
        <v>11</v>
      </c>
      <c r="L609" s="506">
        <f>9/2</f>
        <v>4.5</v>
      </c>
      <c r="M609" s="463">
        <v>25000</v>
      </c>
      <c r="N609" s="468" t="s">
        <v>4821</v>
      </c>
      <c r="O609" s="466">
        <v>3</v>
      </c>
      <c r="P609" s="523">
        <v>-2.25</v>
      </c>
      <c r="Q609" s="462">
        <v>1.1140046296296295E-3</v>
      </c>
      <c r="R609" s="463">
        <v>2200</v>
      </c>
      <c r="S609" s="466"/>
      <c r="T609" s="524"/>
      <c r="W609" s="460"/>
      <c r="AY609" s="486" t="str">
        <f t="shared" si="37"/>
        <v/>
      </c>
      <c r="AZ609" s="487" t="str">
        <f t="shared" si="38"/>
        <v/>
      </c>
      <c r="CH609" s="459"/>
    </row>
    <row r="610" spans="1:90" s="461" customFormat="1" ht="12" customHeight="1" x14ac:dyDescent="0.15">
      <c r="A610" s="522" t="s">
        <v>1381</v>
      </c>
      <c r="B610" s="467">
        <v>42544</v>
      </c>
      <c r="C610" s="468" t="s">
        <v>4512</v>
      </c>
      <c r="D610" s="468" t="s">
        <v>4511</v>
      </c>
      <c r="E610" s="468" t="s">
        <v>5085</v>
      </c>
      <c r="F610" s="468" t="s">
        <v>4828</v>
      </c>
      <c r="G610" s="466">
        <v>5</v>
      </c>
      <c r="H610" s="465">
        <v>6.5</v>
      </c>
      <c r="I610" s="466"/>
      <c r="J610" s="466"/>
      <c r="K610" s="466">
        <v>9</v>
      </c>
      <c r="L610" s="506">
        <v>5</v>
      </c>
      <c r="M610" s="463">
        <v>10000</v>
      </c>
      <c r="N610" s="468" t="s">
        <v>197</v>
      </c>
      <c r="O610" s="466">
        <v>5</v>
      </c>
      <c r="P610" s="523">
        <v>-3.25</v>
      </c>
      <c r="Q610" s="462">
        <v>8.991898148148148E-4</v>
      </c>
      <c r="R610" s="463">
        <v>250</v>
      </c>
      <c r="S610" s="466"/>
      <c r="T610" s="524"/>
      <c r="W610" s="460"/>
      <c r="AY610" s="486" t="str">
        <f t="shared" si="37"/>
        <v/>
      </c>
      <c r="AZ610" s="487" t="str">
        <f t="shared" si="38"/>
        <v/>
      </c>
      <c r="CH610" s="459"/>
    </row>
    <row r="611" spans="1:90" s="461" customFormat="1" ht="12" customHeight="1" x14ac:dyDescent="0.15">
      <c r="A611" s="522" t="s">
        <v>1897</v>
      </c>
      <c r="B611" s="467">
        <v>42545</v>
      </c>
      <c r="C611" s="468" t="s">
        <v>424</v>
      </c>
      <c r="D611" s="468" t="s">
        <v>4095</v>
      </c>
      <c r="E611" s="468" t="s">
        <v>3930</v>
      </c>
      <c r="F611" s="468" t="s">
        <v>3300</v>
      </c>
      <c r="G611" s="466">
        <v>3</v>
      </c>
      <c r="H611" s="465">
        <v>5.5</v>
      </c>
      <c r="I611" s="466" t="s">
        <v>3730</v>
      </c>
      <c r="J611" s="466"/>
      <c r="K611" s="466">
        <v>8</v>
      </c>
      <c r="L611" s="506">
        <f>7/2</f>
        <v>3.5</v>
      </c>
      <c r="M611" s="463">
        <v>18500</v>
      </c>
      <c r="N611" s="468" t="s">
        <v>4720</v>
      </c>
      <c r="O611" s="466">
        <v>3</v>
      </c>
      <c r="P611" s="523">
        <v>-4</v>
      </c>
      <c r="Q611" s="462">
        <v>6.5659722222222215E-4</v>
      </c>
      <c r="R611" s="463">
        <v>1850</v>
      </c>
      <c r="S611" s="466"/>
      <c r="T611" s="524" t="s">
        <v>3755</v>
      </c>
      <c r="W611" s="460"/>
      <c r="AY611" s="486" t="str">
        <f t="shared" si="37"/>
        <v/>
      </c>
      <c r="AZ611" s="487" t="str">
        <f t="shared" si="38"/>
        <v/>
      </c>
      <c r="CH611" s="459"/>
    </row>
    <row r="612" spans="1:90" s="461" customFormat="1" ht="12" customHeight="1" x14ac:dyDescent="0.15">
      <c r="A612" s="522" t="s">
        <v>121</v>
      </c>
      <c r="B612" s="467">
        <v>42545</v>
      </c>
      <c r="C612" s="468" t="s">
        <v>4959</v>
      </c>
      <c r="D612" s="468" t="s">
        <v>4970</v>
      </c>
      <c r="E612" s="468" t="s">
        <v>4980</v>
      </c>
      <c r="F612" s="468" t="s">
        <v>1162</v>
      </c>
      <c r="G612" s="466">
        <v>6</v>
      </c>
      <c r="H612" s="465">
        <v>8.5</v>
      </c>
      <c r="I612" s="466" t="s">
        <v>1360</v>
      </c>
      <c r="J612" s="466"/>
      <c r="K612" s="466">
        <v>9</v>
      </c>
      <c r="L612" s="525">
        <v>6</v>
      </c>
      <c r="M612" s="463">
        <v>10500</v>
      </c>
      <c r="N612" s="468" t="s">
        <v>197</v>
      </c>
      <c r="O612" s="466">
        <v>7</v>
      </c>
      <c r="P612" s="523">
        <v>-11</v>
      </c>
      <c r="Q612" s="462">
        <v>1.2319444444444446E-3</v>
      </c>
      <c r="R612" s="463">
        <v>0</v>
      </c>
      <c r="S612" s="466"/>
      <c r="T612" s="524"/>
      <c r="W612" s="460"/>
      <c r="AY612" s="486" t="str">
        <f t="shared" si="37"/>
        <v/>
      </c>
      <c r="AZ612" s="487" t="str">
        <f t="shared" si="38"/>
        <v/>
      </c>
      <c r="CH612" s="459"/>
    </row>
    <row r="613" spans="1:90" s="461" customFormat="1" ht="12" customHeight="1" x14ac:dyDescent="0.15">
      <c r="A613" s="522" t="s">
        <v>4953</v>
      </c>
      <c r="B613" s="467">
        <v>42545</v>
      </c>
      <c r="C613" s="468" t="s">
        <v>4954</v>
      </c>
      <c r="D613" s="468" t="s">
        <v>5106</v>
      </c>
      <c r="E613" s="468" t="s">
        <v>5107</v>
      </c>
      <c r="F613" s="468" t="s">
        <v>3686</v>
      </c>
      <c r="G613" s="466">
        <v>5</v>
      </c>
      <c r="H613" s="465">
        <v>5.5</v>
      </c>
      <c r="I613" s="466"/>
      <c r="J613" s="466"/>
      <c r="K613" s="466">
        <v>11</v>
      </c>
      <c r="L613" s="506">
        <f>7/2</f>
        <v>3.5</v>
      </c>
      <c r="M613" s="463">
        <v>9325</v>
      </c>
      <c r="N613" s="468" t="s">
        <v>3955</v>
      </c>
      <c r="O613" s="466">
        <v>5</v>
      </c>
      <c r="P613" s="523">
        <v>-8</v>
      </c>
      <c r="Q613" s="462">
        <v>7.7569444444444441E-4</v>
      </c>
      <c r="R613" s="463">
        <v>99</v>
      </c>
      <c r="S613" s="466" t="s">
        <v>625</v>
      </c>
      <c r="T613" s="524" t="s">
        <v>3755</v>
      </c>
      <c r="W613" s="460"/>
      <c r="AY613" s="486">
        <f t="shared" si="37"/>
        <v>99</v>
      </c>
      <c r="AZ613" s="487" t="str">
        <f t="shared" si="38"/>
        <v/>
      </c>
      <c r="CH613" s="459"/>
    </row>
    <row r="614" spans="1:90" s="461" customFormat="1" ht="12" customHeight="1" x14ac:dyDescent="0.15">
      <c r="A614" s="522" t="s">
        <v>4294</v>
      </c>
      <c r="B614" s="467">
        <v>42545</v>
      </c>
      <c r="C614" s="468" t="s">
        <v>3951</v>
      </c>
      <c r="D614" s="468" t="s">
        <v>3725</v>
      </c>
      <c r="E614" s="468" t="s">
        <v>3684</v>
      </c>
      <c r="F614" s="468" t="s">
        <v>3686</v>
      </c>
      <c r="G614" s="466">
        <v>5</v>
      </c>
      <c r="H614" s="465">
        <v>5.5</v>
      </c>
      <c r="I614" s="466"/>
      <c r="J614" s="466"/>
      <c r="K614" s="466">
        <v>11</v>
      </c>
      <c r="L614" s="506">
        <v>15</v>
      </c>
      <c r="M614" s="463">
        <v>9325</v>
      </c>
      <c r="N614" s="468" t="s">
        <v>3955</v>
      </c>
      <c r="O614" s="466">
        <v>6</v>
      </c>
      <c r="P614" s="523">
        <v>-8.5</v>
      </c>
      <c r="Q614" s="462">
        <v>7.7569444444444441E-4</v>
      </c>
      <c r="R614" s="463">
        <v>99</v>
      </c>
      <c r="S614" s="466" t="s">
        <v>625</v>
      </c>
      <c r="T614" s="524"/>
      <c r="W614" s="460"/>
      <c r="AY614" s="486">
        <f t="shared" si="37"/>
        <v>99</v>
      </c>
      <c r="AZ614" s="487" t="str">
        <f t="shared" si="38"/>
        <v/>
      </c>
      <c r="CH614" s="459"/>
    </row>
    <row r="615" spans="1:90" s="469" customFormat="1" ht="12" customHeight="1" x14ac:dyDescent="0.15">
      <c r="A615" s="471" t="s">
        <v>5117</v>
      </c>
      <c r="B615" s="472">
        <v>42545</v>
      </c>
      <c r="C615" s="471" t="s">
        <v>5088</v>
      </c>
      <c r="D615" s="471" t="s">
        <v>3213</v>
      </c>
      <c r="E615" s="471" t="s">
        <v>3848</v>
      </c>
      <c r="F615" s="471" t="s">
        <v>3686</v>
      </c>
      <c r="G615" s="473">
        <v>7</v>
      </c>
      <c r="H615" s="474">
        <v>5.5</v>
      </c>
      <c r="I615" s="475"/>
      <c r="J615" s="475"/>
      <c r="K615" s="473">
        <v>11</v>
      </c>
      <c r="L615" s="458">
        <v>6</v>
      </c>
      <c r="M615" s="476">
        <v>9325</v>
      </c>
      <c r="N615" s="471" t="s">
        <v>3955</v>
      </c>
      <c r="O615" s="477" t="s">
        <v>431</v>
      </c>
      <c r="P615" s="478" t="s">
        <v>431</v>
      </c>
      <c r="Q615" s="479" t="s">
        <v>431</v>
      </c>
      <c r="R615" s="480" t="s">
        <v>431</v>
      </c>
      <c r="S615" s="477" t="s">
        <v>625</v>
      </c>
      <c r="T615" s="481" t="s">
        <v>5116</v>
      </c>
      <c r="U615" s="482"/>
      <c r="V615" s="482"/>
      <c r="W615" s="483"/>
      <c r="X615" s="482"/>
      <c r="Y615" s="482"/>
      <c r="Z615" s="482"/>
      <c r="AA615" s="482"/>
      <c r="AB615" s="482"/>
      <c r="AC615" s="482"/>
      <c r="AD615" s="482"/>
      <c r="AE615" s="482"/>
      <c r="AF615" s="482"/>
      <c r="AG615" s="482"/>
      <c r="AH615" s="482"/>
      <c r="AI615" s="482"/>
      <c r="AJ615" s="482"/>
      <c r="AK615" s="482"/>
      <c r="AL615" s="482"/>
      <c r="AM615" s="482"/>
      <c r="AN615" s="482"/>
      <c r="AO615" s="482"/>
      <c r="AP615" s="482"/>
      <c r="AQ615" s="482"/>
      <c r="AR615" s="482"/>
      <c r="AS615" s="482"/>
      <c r="AT615" s="482"/>
      <c r="AU615" s="482"/>
      <c r="AV615" s="482"/>
      <c r="AW615" s="482"/>
      <c r="AX615" s="482"/>
      <c r="AY615" s="486" t="str">
        <f t="shared" si="37"/>
        <v>--</v>
      </c>
      <c r="AZ615" s="487" t="str">
        <f t="shared" si="38"/>
        <v/>
      </c>
      <c r="BA615" s="482"/>
      <c r="BB615" s="482"/>
      <c r="BC615" s="482"/>
      <c r="BD615" s="482"/>
      <c r="BE615" s="482"/>
      <c r="BF615" s="482"/>
      <c r="BG615" s="482"/>
      <c r="BH615" s="482"/>
      <c r="BI615" s="482"/>
      <c r="BJ615" s="482"/>
      <c r="BK615" s="482"/>
      <c r="BL615" s="482"/>
      <c r="BM615" s="482"/>
      <c r="BN615" s="482"/>
      <c r="BO615" s="482"/>
      <c r="BP615" s="482"/>
      <c r="BQ615" s="482"/>
      <c r="BR615" s="482"/>
      <c r="BS615" s="482"/>
      <c r="BT615" s="482"/>
      <c r="BU615" s="482"/>
      <c r="BV615" s="482"/>
      <c r="BW615" s="482"/>
      <c r="BX615" s="482"/>
      <c r="BY615" s="482"/>
      <c r="BZ615" s="482"/>
      <c r="CA615" s="482"/>
      <c r="CB615" s="482"/>
      <c r="CC615" s="482"/>
      <c r="CD615" s="482"/>
      <c r="CE615" s="482"/>
      <c r="CF615" s="482"/>
      <c r="CG615" s="482"/>
      <c r="CH615" s="484"/>
    </row>
    <row r="616" spans="1:90" s="461" customFormat="1" ht="12" customHeight="1" x14ac:dyDescent="0.15">
      <c r="A616" s="522" t="s">
        <v>2355</v>
      </c>
      <c r="B616" s="467">
        <v>42545</v>
      </c>
      <c r="C616" s="468" t="s">
        <v>4601</v>
      </c>
      <c r="D616" s="468" t="s">
        <v>4599</v>
      </c>
      <c r="E616" s="468" t="s">
        <v>5099</v>
      </c>
      <c r="F616" s="468" t="s">
        <v>2376</v>
      </c>
      <c r="G616" s="466">
        <v>5</v>
      </c>
      <c r="H616" s="465">
        <v>6</v>
      </c>
      <c r="I616" s="466"/>
      <c r="J616" s="466"/>
      <c r="K616" s="466">
        <v>7</v>
      </c>
      <c r="L616" s="525">
        <f>5/2</f>
        <v>2.5</v>
      </c>
      <c r="M616" s="463">
        <v>30400</v>
      </c>
      <c r="N616" s="468" t="s">
        <v>4542</v>
      </c>
      <c r="O616" s="466">
        <v>5</v>
      </c>
      <c r="P616" s="523">
        <v>-7</v>
      </c>
      <c r="Q616" s="462">
        <v>8.0983796296296305E-4</v>
      </c>
      <c r="R616" s="463">
        <v>912</v>
      </c>
      <c r="S616" s="466"/>
      <c r="T616" s="524" t="s">
        <v>3714</v>
      </c>
      <c r="W616" s="460"/>
      <c r="AY616" s="486"/>
      <c r="AZ616" s="487" t="str">
        <f t="shared" si="38"/>
        <v/>
      </c>
      <c r="CH616" s="459"/>
    </row>
    <row r="617" spans="1:90" s="461" customFormat="1" ht="12" customHeight="1" x14ac:dyDescent="0.15">
      <c r="A617" s="522" t="s">
        <v>351</v>
      </c>
      <c r="B617" s="467">
        <v>42545</v>
      </c>
      <c r="C617" s="468" t="s">
        <v>4845</v>
      </c>
      <c r="D617" s="468" t="s">
        <v>4841</v>
      </c>
      <c r="E617" s="468" t="s">
        <v>4842</v>
      </c>
      <c r="F617" s="468" t="s">
        <v>4843</v>
      </c>
      <c r="G617" s="466">
        <v>4</v>
      </c>
      <c r="H617" s="465">
        <v>6</v>
      </c>
      <c r="I617" s="466"/>
      <c r="J617" s="466"/>
      <c r="K617" s="466">
        <v>7</v>
      </c>
      <c r="L617" s="525">
        <v>4</v>
      </c>
      <c r="M617" s="463">
        <v>5862</v>
      </c>
      <c r="N617" s="468" t="s">
        <v>5087</v>
      </c>
      <c r="O617" s="466">
        <v>5</v>
      </c>
      <c r="P617" s="523">
        <v>-7</v>
      </c>
      <c r="Q617" s="462">
        <v>8.4722222222222219E-4</v>
      </c>
      <c r="R617" s="463">
        <v>176</v>
      </c>
      <c r="S617" s="466"/>
      <c r="T617" s="524"/>
      <c r="W617" s="460"/>
      <c r="AY617" s="486" t="str">
        <f t="shared" ref="AY617:AY628" si="39">IF(S617="","",R617)</f>
        <v/>
      </c>
      <c r="AZ617" s="487" t="str">
        <f t="shared" si="38"/>
        <v/>
      </c>
      <c r="CH617" s="459"/>
    </row>
    <row r="618" spans="1:90" s="461" customFormat="1" ht="12" customHeight="1" x14ac:dyDescent="0.15">
      <c r="A618" s="522" t="s">
        <v>4756</v>
      </c>
      <c r="B618" s="467">
        <v>42546</v>
      </c>
      <c r="C618" s="468" t="s">
        <v>2744</v>
      </c>
      <c r="D618" s="468" t="s">
        <v>4757</v>
      </c>
      <c r="E618" s="468" t="s">
        <v>5103</v>
      </c>
      <c r="F618" s="468" t="s">
        <v>3686</v>
      </c>
      <c r="G618" s="466">
        <v>2</v>
      </c>
      <c r="H618" s="465">
        <v>7.5</v>
      </c>
      <c r="I618" s="466"/>
      <c r="J618" s="466"/>
      <c r="K618" s="466">
        <v>9</v>
      </c>
      <c r="L618" s="601">
        <v>8</v>
      </c>
      <c r="M618" s="463">
        <v>10280</v>
      </c>
      <c r="N618" s="468" t="s">
        <v>4006</v>
      </c>
      <c r="O618" s="466">
        <v>10</v>
      </c>
      <c r="P618" s="523">
        <v>-34.5</v>
      </c>
      <c r="Q618" s="462">
        <v>1.0704861111111112E-3</v>
      </c>
      <c r="R618" s="463">
        <v>99</v>
      </c>
      <c r="S618" s="466" t="s">
        <v>625</v>
      </c>
      <c r="T618" s="524"/>
      <c r="W618" s="460"/>
      <c r="AY618" s="486">
        <f t="shared" si="39"/>
        <v>99</v>
      </c>
      <c r="AZ618" s="487" t="str">
        <f t="shared" si="38"/>
        <v/>
      </c>
      <c r="CH618" s="459"/>
    </row>
    <row r="619" spans="1:90" s="469" customFormat="1" ht="12" customHeight="1" x14ac:dyDescent="0.15">
      <c r="A619" s="444" t="s">
        <v>5092</v>
      </c>
      <c r="B619" s="445">
        <v>42546</v>
      </c>
      <c r="C619" s="446" t="s">
        <v>2559</v>
      </c>
      <c r="D619" s="446" t="s">
        <v>3942</v>
      </c>
      <c r="E619" s="446" t="s">
        <v>4992</v>
      </c>
      <c r="F619" s="446" t="s">
        <v>3686</v>
      </c>
      <c r="G619" s="447">
        <v>6</v>
      </c>
      <c r="H619" s="447">
        <v>5.5</v>
      </c>
      <c r="I619" s="447"/>
      <c r="J619" s="447"/>
      <c r="K619" s="447">
        <v>11</v>
      </c>
      <c r="L619" s="449">
        <f>7/2</f>
        <v>3.5</v>
      </c>
      <c r="M619" s="450">
        <v>9325</v>
      </c>
      <c r="N619" s="446" t="s">
        <v>3955</v>
      </c>
      <c r="O619" s="447">
        <v>1</v>
      </c>
      <c r="P619" s="451">
        <v>1.5</v>
      </c>
      <c r="Q619" s="452">
        <v>7.782407407407408E-4</v>
      </c>
      <c r="R619" s="450">
        <v>5617</v>
      </c>
      <c r="S619" s="447" t="s">
        <v>625</v>
      </c>
      <c r="T619" s="453"/>
      <c r="U619" s="454"/>
      <c r="V619" s="454"/>
      <c r="W619" s="455"/>
      <c r="X619" s="454"/>
      <c r="Y619" s="454"/>
      <c r="Z619" s="454"/>
      <c r="AA619" s="454"/>
      <c r="AB619" s="454"/>
      <c r="AC619" s="454"/>
      <c r="AD619" s="454"/>
      <c r="AE619" s="454"/>
      <c r="AF619" s="454"/>
      <c r="AG619" s="454"/>
      <c r="AH619" s="454"/>
      <c r="AI619" s="454"/>
      <c r="AJ619" s="454"/>
      <c r="AK619" s="454"/>
      <c r="AL619" s="454"/>
      <c r="AM619" s="454"/>
      <c r="AN619" s="454"/>
      <c r="AO619" s="454"/>
      <c r="AP619" s="454"/>
      <c r="AQ619" s="454"/>
      <c r="AR619" s="454"/>
      <c r="AS619" s="454"/>
      <c r="AT619" s="454"/>
      <c r="AU619" s="454"/>
      <c r="AV619" s="454"/>
      <c r="AW619" s="454"/>
      <c r="AX619" s="454"/>
      <c r="AY619" s="486">
        <f t="shared" si="39"/>
        <v>5617</v>
      </c>
      <c r="AZ619" s="487">
        <f t="shared" si="38"/>
        <v>1</v>
      </c>
      <c r="BA619" s="454"/>
      <c r="BB619" s="454"/>
      <c r="BC619" s="454"/>
      <c r="BD619" s="454"/>
      <c r="BE619" s="454"/>
      <c r="BF619" s="454"/>
      <c r="BG619" s="454"/>
      <c r="BH619" s="454"/>
      <c r="BI619" s="454"/>
      <c r="BJ619" s="454"/>
      <c r="BK619" s="454"/>
      <c r="BL619" s="454"/>
      <c r="BM619" s="454"/>
      <c r="BN619" s="454"/>
      <c r="BO619" s="454"/>
      <c r="BP619" s="454"/>
      <c r="BQ619" s="454"/>
      <c r="BR619" s="454"/>
      <c r="BS619" s="454"/>
      <c r="BT619" s="454"/>
      <c r="BU619" s="454"/>
      <c r="BV619" s="454"/>
      <c r="BW619" s="454"/>
      <c r="BX619" s="454"/>
      <c r="BY619" s="454"/>
      <c r="BZ619" s="454"/>
      <c r="CA619" s="454"/>
      <c r="CB619" s="454"/>
      <c r="CC619" s="454"/>
      <c r="CD619" s="454"/>
      <c r="CE619" s="454"/>
      <c r="CF619" s="454"/>
      <c r="CG619" s="454"/>
      <c r="CH619" s="456"/>
      <c r="CI619" s="454"/>
      <c r="CJ619" s="454"/>
      <c r="CK619" s="454"/>
      <c r="CL619" s="454"/>
    </row>
    <row r="620" spans="1:90" s="461" customFormat="1" ht="12" customHeight="1" x14ac:dyDescent="0.15">
      <c r="A620" s="522" t="s">
        <v>4003</v>
      </c>
      <c r="B620" s="467">
        <v>42546</v>
      </c>
      <c r="C620" s="468" t="s">
        <v>4004</v>
      </c>
      <c r="D620" s="468" t="s">
        <v>5104</v>
      </c>
      <c r="E620" s="468" t="s">
        <v>3683</v>
      </c>
      <c r="F620" s="468" t="s">
        <v>3686</v>
      </c>
      <c r="G620" s="466">
        <v>6</v>
      </c>
      <c r="H620" s="465">
        <v>5.5</v>
      </c>
      <c r="I620" s="466"/>
      <c r="J620" s="466"/>
      <c r="K620" s="466">
        <v>11</v>
      </c>
      <c r="L620" s="525">
        <f>7/2</f>
        <v>3.5</v>
      </c>
      <c r="M620" s="463">
        <v>9325</v>
      </c>
      <c r="N620" s="468" t="s">
        <v>3955</v>
      </c>
      <c r="O620" s="466">
        <v>2</v>
      </c>
      <c r="P620" s="523">
        <v>-1.5</v>
      </c>
      <c r="Q620" s="462">
        <v>7.782407407407408E-4</v>
      </c>
      <c r="R620" s="463">
        <v>1966</v>
      </c>
      <c r="S620" s="466" t="s">
        <v>625</v>
      </c>
      <c r="T620" s="524"/>
      <c r="W620" s="460"/>
      <c r="AY620" s="486">
        <f t="shared" si="39"/>
        <v>1966</v>
      </c>
      <c r="AZ620" s="487" t="str">
        <f t="shared" si="38"/>
        <v/>
      </c>
      <c r="CH620" s="459"/>
    </row>
    <row r="621" spans="1:90" s="461" customFormat="1" ht="12" customHeight="1" x14ac:dyDescent="0.15">
      <c r="A621" s="522" t="s">
        <v>5089</v>
      </c>
      <c r="B621" s="467">
        <v>42546</v>
      </c>
      <c r="C621" s="468" t="s">
        <v>5090</v>
      </c>
      <c r="D621" s="468" t="s">
        <v>5091</v>
      </c>
      <c r="E621" s="468" t="s">
        <v>5105</v>
      </c>
      <c r="F621" s="468" t="s">
        <v>3686</v>
      </c>
      <c r="G621" s="466">
        <v>6</v>
      </c>
      <c r="H621" s="465">
        <v>5.5</v>
      </c>
      <c r="I621" s="466"/>
      <c r="J621" s="466"/>
      <c r="K621" s="466">
        <v>11</v>
      </c>
      <c r="L621" s="525">
        <v>5</v>
      </c>
      <c r="M621" s="463">
        <v>9325</v>
      </c>
      <c r="N621" s="468" t="s">
        <v>3955</v>
      </c>
      <c r="O621" s="466">
        <v>6</v>
      </c>
      <c r="P621" s="523">
        <v>-8.25</v>
      </c>
      <c r="Q621" s="462">
        <v>7.782407407407408E-4</v>
      </c>
      <c r="R621" s="463">
        <v>99</v>
      </c>
      <c r="S621" s="466" t="s">
        <v>625</v>
      </c>
      <c r="T621" s="524"/>
      <c r="W621" s="460"/>
      <c r="AY621" s="486">
        <f t="shared" si="39"/>
        <v>99</v>
      </c>
      <c r="AZ621" s="487" t="str">
        <f t="shared" si="38"/>
        <v/>
      </c>
      <c r="CH621" s="459"/>
    </row>
    <row r="622" spans="1:90" s="469" customFormat="1" ht="12" customHeight="1" x14ac:dyDescent="0.15">
      <c r="A622" s="444" t="s">
        <v>3829</v>
      </c>
      <c r="B622" s="445">
        <v>42546</v>
      </c>
      <c r="C622" s="446" t="s">
        <v>2744</v>
      </c>
      <c r="D622" s="446" t="s">
        <v>3832</v>
      </c>
      <c r="E622" s="446" t="s">
        <v>3846</v>
      </c>
      <c r="F622" s="446" t="s">
        <v>3686</v>
      </c>
      <c r="G622" s="447">
        <v>10</v>
      </c>
      <c r="H622" s="447">
        <v>8</v>
      </c>
      <c r="I622" s="447"/>
      <c r="J622" s="447"/>
      <c r="K622" s="447">
        <v>12</v>
      </c>
      <c r="L622" s="449">
        <f>3</f>
        <v>3</v>
      </c>
      <c r="M622" s="450">
        <v>7203</v>
      </c>
      <c r="N622" s="446" t="s">
        <v>3653</v>
      </c>
      <c r="O622" s="447">
        <v>1</v>
      </c>
      <c r="P622" s="451">
        <v>2.25</v>
      </c>
      <c r="Q622" s="452">
        <v>1.1277777777777779E-3</v>
      </c>
      <c r="R622" s="450">
        <v>4339</v>
      </c>
      <c r="S622" s="447" t="s">
        <v>625</v>
      </c>
      <c r="T622" s="453" t="s">
        <v>3714</v>
      </c>
      <c r="U622" s="454"/>
      <c r="V622" s="454"/>
      <c r="W622" s="455"/>
      <c r="X622" s="454"/>
      <c r="Y622" s="454"/>
      <c r="Z622" s="454"/>
      <c r="AA622" s="454"/>
      <c r="AB622" s="454"/>
      <c r="AC622" s="454"/>
      <c r="AD622" s="454"/>
      <c r="AE622" s="454"/>
      <c r="AF622" s="454"/>
      <c r="AG622" s="454"/>
      <c r="AH622" s="454"/>
      <c r="AI622" s="454"/>
      <c r="AJ622" s="454"/>
      <c r="AK622" s="454"/>
      <c r="AL622" s="454"/>
      <c r="AM622" s="454"/>
      <c r="AN622" s="454"/>
      <c r="AO622" s="454"/>
      <c r="AP622" s="454"/>
      <c r="AQ622" s="454"/>
      <c r="AR622" s="454"/>
      <c r="AS622" s="454"/>
      <c r="AT622" s="454"/>
      <c r="AU622" s="454"/>
      <c r="AV622" s="454"/>
      <c r="AW622" s="454"/>
      <c r="AX622" s="454"/>
      <c r="AY622" s="486">
        <f t="shared" si="39"/>
        <v>4339</v>
      </c>
      <c r="AZ622" s="487">
        <f t="shared" si="38"/>
        <v>1</v>
      </c>
      <c r="BA622" s="454"/>
      <c r="BB622" s="454"/>
      <c r="BC622" s="454"/>
      <c r="BD622" s="454"/>
      <c r="BE622" s="454"/>
      <c r="BF622" s="454"/>
      <c r="BG622" s="454"/>
      <c r="BH622" s="454"/>
      <c r="BI622" s="454"/>
      <c r="BJ622" s="454"/>
      <c r="BK622" s="454"/>
      <c r="BL622" s="454"/>
      <c r="BM622" s="454"/>
      <c r="BN622" s="454"/>
      <c r="BO622" s="454"/>
      <c r="BP622" s="454"/>
      <c r="BQ622" s="454"/>
      <c r="BR622" s="454"/>
      <c r="BS622" s="454"/>
      <c r="BT622" s="454"/>
      <c r="BU622" s="454"/>
      <c r="BV622" s="454"/>
      <c r="BW622" s="454"/>
      <c r="BX622" s="454"/>
      <c r="BY622" s="454"/>
      <c r="BZ622" s="454"/>
      <c r="CA622" s="454"/>
      <c r="CB622" s="454"/>
      <c r="CC622" s="454"/>
      <c r="CD622" s="454"/>
      <c r="CE622" s="454"/>
      <c r="CF622" s="454"/>
      <c r="CG622" s="454"/>
      <c r="CH622" s="456"/>
      <c r="CI622" s="454"/>
      <c r="CJ622" s="454"/>
      <c r="CK622" s="454"/>
      <c r="CL622" s="454"/>
    </row>
    <row r="623" spans="1:90" s="461" customFormat="1" ht="12" customHeight="1" x14ac:dyDescent="0.15">
      <c r="A623" s="522" t="s">
        <v>3838</v>
      </c>
      <c r="B623" s="467">
        <v>42546</v>
      </c>
      <c r="C623" s="468" t="s">
        <v>3841</v>
      </c>
      <c r="D623" s="468" t="s">
        <v>3837</v>
      </c>
      <c r="E623" s="468" t="s">
        <v>3848</v>
      </c>
      <c r="F623" s="468" t="s">
        <v>3686</v>
      </c>
      <c r="G623" s="466">
        <v>10</v>
      </c>
      <c r="H623" s="465">
        <v>8</v>
      </c>
      <c r="I623" s="466"/>
      <c r="J623" s="466"/>
      <c r="K623" s="466">
        <v>12</v>
      </c>
      <c r="L623" s="525">
        <f>7/2</f>
        <v>3.5</v>
      </c>
      <c r="M623" s="463">
        <v>7203</v>
      </c>
      <c r="N623" s="468" t="s">
        <v>3653</v>
      </c>
      <c r="O623" s="466">
        <v>5</v>
      </c>
      <c r="P623" s="523">
        <v>-5.5</v>
      </c>
      <c r="Q623" s="462">
        <v>1.1277777777777779E-3</v>
      </c>
      <c r="R623" s="463">
        <v>99</v>
      </c>
      <c r="S623" s="466" t="s">
        <v>625</v>
      </c>
      <c r="T623" s="524" t="s">
        <v>3755</v>
      </c>
      <c r="W623" s="460"/>
      <c r="AY623" s="486">
        <f t="shared" si="39"/>
        <v>99</v>
      </c>
      <c r="AZ623" s="487" t="str">
        <f t="shared" si="38"/>
        <v/>
      </c>
      <c r="CH623" s="459"/>
    </row>
    <row r="624" spans="1:90" s="469" customFormat="1" ht="12" customHeight="1" x14ac:dyDescent="0.15">
      <c r="A624" s="471" t="s">
        <v>5121</v>
      </c>
      <c r="B624" s="472">
        <v>42546</v>
      </c>
      <c r="C624" s="471" t="s">
        <v>3370</v>
      </c>
      <c r="D624" s="471" t="s">
        <v>3902</v>
      </c>
      <c r="E624" s="471" t="s">
        <v>4712</v>
      </c>
      <c r="F624" s="471" t="s">
        <v>3686</v>
      </c>
      <c r="G624" s="473">
        <v>11</v>
      </c>
      <c r="H624" s="474">
        <v>7</v>
      </c>
      <c r="I624" s="475"/>
      <c r="J624" s="475"/>
      <c r="K624" s="473">
        <v>14</v>
      </c>
      <c r="L624" s="458">
        <v>5</v>
      </c>
      <c r="M624" s="476">
        <v>33768</v>
      </c>
      <c r="N624" s="471" t="s">
        <v>5093</v>
      </c>
      <c r="O624" s="477" t="s">
        <v>431</v>
      </c>
      <c r="P624" s="478" t="s">
        <v>431</v>
      </c>
      <c r="Q624" s="479" t="s">
        <v>431</v>
      </c>
      <c r="R624" s="480" t="s">
        <v>431</v>
      </c>
      <c r="S624" s="477" t="s">
        <v>625</v>
      </c>
      <c r="T624" s="481" t="s">
        <v>5120</v>
      </c>
      <c r="U624" s="482"/>
      <c r="V624" s="482"/>
      <c r="W624" s="483"/>
      <c r="X624" s="482"/>
      <c r="Y624" s="482"/>
      <c r="Z624" s="482"/>
      <c r="AA624" s="482"/>
      <c r="AB624" s="482"/>
      <c r="AC624" s="482"/>
      <c r="AD624" s="482"/>
      <c r="AE624" s="482"/>
      <c r="AF624" s="482"/>
      <c r="AG624" s="482"/>
      <c r="AH624" s="482"/>
      <c r="AI624" s="482"/>
      <c r="AJ624" s="482"/>
      <c r="AK624" s="482"/>
      <c r="AL624" s="482"/>
      <c r="AM624" s="482"/>
      <c r="AN624" s="482"/>
      <c r="AO624" s="482"/>
      <c r="AP624" s="482"/>
      <c r="AQ624" s="482"/>
      <c r="AR624" s="482"/>
      <c r="AS624" s="482"/>
      <c r="AT624" s="482"/>
      <c r="AU624" s="482"/>
      <c r="AV624" s="482"/>
      <c r="AW624" s="482"/>
      <c r="AX624" s="482"/>
      <c r="AY624" s="486" t="str">
        <f t="shared" si="39"/>
        <v>--</v>
      </c>
      <c r="AZ624" s="487" t="str">
        <f t="shared" si="38"/>
        <v/>
      </c>
      <c r="BA624" s="482"/>
      <c r="BB624" s="482"/>
      <c r="BC624" s="482"/>
      <c r="BD624" s="482"/>
      <c r="BE624" s="482"/>
      <c r="BF624" s="482"/>
      <c r="BG624" s="482"/>
      <c r="BH624" s="482"/>
      <c r="BI624" s="482"/>
      <c r="BJ624" s="482"/>
      <c r="BK624" s="482"/>
      <c r="BL624" s="482"/>
      <c r="BM624" s="482"/>
      <c r="BN624" s="482"/>
      <c r="BO624" s="482"/>
      <c r="BP624" s="482"/>
      <c r="BQ624" s="482"/>
      <c r="BR624" s="482"/>
      <c r="BS624" s="482"/>
      <c r="BT624" s="482"/>
      <c r="BU624" s="482"/>
      <c r="BV624" s="482"/>
      <c r="BW624" s="482"/>
      <c r="BX624" s="482"/>
      <c r="BY624" s="482"/>
      <c r="BZ624" s="482"/>
      <c r="CA624" s="482"/>
      <c r="CB624" s="482"/>
      <c r="CC624" s="482"/>
      <c r="CD624" s="482"/>
      <c r="CE624" s="482"/>
      <c r="CF624" s="482"/>
      <c r="CG624" s="482"/>
      <c r="CH624" s="484"/>
    </row>
    <row r="625" spans="1:90" s="461" customFormat="1" ht="12" customHeight="1" x14ac:dyDescent="0.15">
      <c r="A625" s="522" t="s">
        <v>4295</v>
      </c>
      <c r="B625" s="467">
        <v>42546</v>
      </c>
      <c r="C625" s="468" t="s">
        <v>4321</v>
      </c>
      <c r="D625" s="468" t="s">
        <v>3945</v>
      </c>
      <c r="E625" s="468" t="s">
        <v>3848</v>
      </c>
      <c r="F625" s="468" t="s">
        <v>3686</v>
      </c>
      <c r="G625" s="466">
        <v>16</v>
      </c>
      <c r="H625" s="465">
        <v>6.5</v>
      </c>
      <c r="I625" s="466"/>
      <c r="J625" s="466"/>
      <c r="K625" s="466">
        <v>12</v>
      </c>
      <c r="L625" s="506">
        <v>50</v>
      </c>
      <c r="M625" s="463">
        <v>5958</v>
      </c>
      <c r="N625" s="468" t="s">
        <v>3348</v>
      </c>
      <c r="O625" s="466">
        <v>12</v>
      </c>
      <c r="P625" s="523">
        <v>-51.25</v>
      </c>
      <c r="Q625" s="462">
        <v>9.1423611111111122E-4</v>
      </c>
      <c r="R625" s="463">
        <v>99</v>
      </c>
      <c r="S625" s="466" t="s">
        <v>625</v>
      </c>
      <c r="T625" s="524"/>
      <c r="W625" s="460"/>
      <c r="AY625" s="486">
        <f t="shared" si="39"/>
        <v>99</v>
      </c>
      <c r="AZ625" s="487" t="str">
        <f t="shared" si="38"/>
        <v/>
      </c>
      <c r="CH625" s="459"/>
    </row>
    <row r="626" spans="1:90" s="461" customFormat="1" ht="12" customHeight="1" x14ac:dyDescent="0.15">
      <c r="A626" s="522" t="s">
        <v>3594</v>
      </c>
      <c r="B626" s="467">
        <v>42546</v>
      </c>
      <c r="C626" s="468" t="s">
        <v>3595</v>
      </c>
      <c r="D626" s="468" t="s">
        <v>3472</v>
      </c>
      <c r="E626" s="468" t="s">
        <v>3683</v>
      </c>
      <c r="F626" s="468" t="s">
        <v>3686</v>
      </c>
      <c r="G626" s="466">
        <v>17</v>
      </c>
      <c r="H626" s="465">
        <v>6.5</v>
      </c>
      <c r="I626" s="466"/>
      <c r="J626" s="466"/>
      <c r="K626" s="466">
        <v>11</v>
      </c>
      <c r="L626" s="506">
        <v>3</v>
      </c>
      <c r="M626" s="463">
        <v>5958</v>
      </c>
      <c r="N626" s="468" t="s">
        <v>3348</v>
      </c>
      <c r="O626" s="466">
        <v>6</v>
      </c>
      <c r="P626" s="523">
        <v>-10</v>
      </c>
      <c r="Q626" s="462">
        <v>9.0567129629629635E-4</v>
      </c>
      <c r="R626" s="463">
        <v>99</v>
      </c>
      <c r="S626" s="466" t="s">
        <v>625</v>
      </c>
      <c r="T626" s="524" t="s">
        <v>3714</v>
      </c>
      <c r="W626" s="460"/>
      <c r="AY626" s="486">
        <f t="shared" si="39"/>
        <v>99</v>
      </c>
      <c r="AZ626" s="487" t="str">
        <f t="shared" si="38"/>
        <v/>
      </c>
      <c r="CH626" s="459"/>
    </row>
    <row r="627" spans="1:90" s="461" customFormat="1" ht="12" customHeight="1" x14ac:dyDescent="0.15">
      <c r="A627" s="522" t="s">
        <v>2228</v>
      </c>
      <c r="B627" s="467">
        <v>42546</v>
      </c>
      <c r="C627" s="468" t="s">
        <v>3866</v>
      </c>
      <c r="D627" s="468" t="s">
        <v>4491</v>
      </c>
      <c r="E627" s="468" t="s">
        <v>4492</v>
      </c>
      <c r="F627" s="468" t="s">
        <v>993</v>
      </c>
      <c r="G627" s="466">
        <v>8</v>
      </c>
      <c r="H627" s="465">
        <v>6.5</v>
      </c>
      <c r="I627" s="466"/>
      <c r="J627" s="466"/>
      <c r="K627" s="466">
        <v>10</v>
      </c>
      <c r="L627" s="525">
        <v>3</v>
      </c>
      <c r="M627" s="463">
        <v>10000</v>
      </c>
      <c r="N627" s="468" t="s">
        <v>4562</v>
      </c>
      <c r="O627" s="466">
        <v>5</v>
      </c>
      <c r="P627" s="523">
        <v>-0.5</v>
      </c>
      <c r="Q627" s="462">
        <v>9.774305555555556E-4</v>
      </c>
      <c r="R627" s="463">
        <v>291</v>
      </c>
      <c r="S627" s="466"/>
      <c r="T627" s="524" t="s">
        <v>3755</v>
      </c>
      <c r="W627" s="460"/>
      <c r="AY627" s="486" t="str">
        <f t="shared" si="39"/>
        <v/>
      </c>
      <c r="AZ627" s="487" t="str">
        <f t="shared" si="38"/>
        <v/>
      </c>
      <c r="CH627" s="459"/>
    </row>
    <row r="628" spans="1:90" s="469" customFormat="1" ht="12" customHeight="1" x14ac:dyDescent="0.15">
      <c r="A628" s="444" t="s">
        <v>4192</v>
      </c>
      <c r="B628" s="445">
        <v>42547</v>
      </c>
      <c r="C628" s="446" t="s">
        <v>3305</v>
      </c>
      <c r="D628" s="446" t="s">
        <v>4189</v>
      </c>
      <c r="E628" s="446" t="s">
        <v>4190</v>
      </c>
      <c r="F628" s="446" t="s">
        <v>4187</v>
      </c>
      <c r="G628" s="447">
        <v>3</v>
      </c>
      <c r="H628" s="448">
        <v>7</v>
      </c>
      <c r="I628" s="447"/>
      <c r="J628" s="447" t="s">
        <v>4371</v>
      </c>
      <c r="K628" s="447">
        <v>12</v>
      </c>
      <c r="L628" s="448" t="s">
        <v>431</v>
      </c>
      <c r="M628" s="450">
        <v>34123</v>
      </c>
      <c r="N628" s="446" t="s">
        <v>4905</v>
      </c>
      <c r="O628" s="447">
        <v>1</v>
      </c>
      <c r="P628" s="451">
        <v>8</v>
      </c>
      <c r="Q628" s="452">
        <v>1.0185185185185186E-3</v>
      </c>
      <c r="R628" s="450">
        <v>19450</v>
      </c>
      <c r="S628" s="447" t="s">
        <v>625</v>
      </c>
      <c r="T628" s="453"/>
      <c r="U628" s="454"/>
      <c r="V628" s="454"/>
      <c r="W628" s="455"/>
      <c r="X628" s="454"/>
      <c r="Y628" s="454"/>
      <c r="Z628" s="454"/>
      <c r="AA628" s="454"/>
      <c r="AB628" s="454"/>
      <c r="AC628" s="454"/>
      <c r="AD628" s="454"/>
      <c r="AE628" s="454"/>
      <c r="AF628" s="454"/>
      <c r="AG628" s="454"/>
      <c r="AH628" s="454"/>
      <c r="AI628" s="454"/>
      <c r="AJ628" s="454"/>
      <c r="AK628" s="454"/>
      <c r="AL628" s="454"/>
      <c r="AM628" s="454"/>
      <c r="AN628" s="454"/>
      <c r="AO628" s="454"/>
      <c r="AP628" s="454"/>
      <c r="AQ628" s="454"/>
      <c r="AR628" s="454"/>
      <c r="AS628" s="454"/>
      <c r="AT628" s="454"/>
      <c r="AU628" s="454"/>
      <c r="AV628" s="454"/>
      <c r="AW628" s="454"/>
      <c r="AX628" s="454"/>
      <c r="AY628" s="486">
        <f t="shared" si="39"/>
        <v>19450</v>
      </c>
      <c r="AZ628" s="487">
        <f t="shared" si="38"/>
        <v>1</v>
      </c>
      <c r="BA628" s="454"/>
      <c r="BB628" s="454"/>
      <c r="BC628" s="454"/>
      <c r="BD628" s="454"/>
      <c r="BE628" s="454"/>
      <c r="BF628" s="454"/>
      <c r="BG628" s="454"/>
      <c r="BH628" s="454"/>
      <c r="BI628" s="454"/>
      <c r="BJ628" s="454"/>
      <c r="BK628" s="454"/>
      <c r="BL628" s="454"/>
      <c r="BM628" s="454"/>
      <c r="BN628" s="454"/>
      <c r="BO628" s="454"/>
      <c r="BP628" s="454"/>
      <c r="BQ628" s="454"/>
      <c r="BR628" s="454"/>
      <c r="BS628" s="454"/>
      <c r="BT628" s="454"/>
      <c r="BU628" s="454"/>
      <c r="BV628" s="454"/>
      <c r="BW628" s="454"/>
      <c r="BX628" s="454"/>
      <c r="BY628" s="454"/>
      <c r="BZ628" s="454"/>
      <c r="CA628" s="454"/>
      <c r="CB628" s="454"/>
      <c r="CC628" s="454"/>
      <c r="CD628" s="454"/>
      <c r="CE628" s="454"/>
      <c r="CF628" s="454"/>
      <c r="CG628" s="454"/>
      <c r="CH628" s="456"/>
      <c r="CI628" s="454"/>
      <c r="CJ628" s="454"/>
      <c r="CK628" s="454"/>
      <c r="CL628" s="454"/>
    </row>
    <row r="629" spans="1:90" s="461" customFormat="1" ht="12" customHeight="1" x14ac:dyDescent="0.15">
      <c r="A629" s="522" t="s">
        <v>4700</v>
      </c>
      <c r="B629" s="467">
        <v>42547</v>
      </c>
      <c r="C629" s="468" t="s">
        <v>4701</v>
      </c>
      <c r="D629" s="468" t="s">
        <v>4702</v>
      </c>
      <c r="E629" s="468" t="s">
        <v>3957</v>
      </c>
      <c r="F629" s="468" t="s">
        <v>3685</v>
      </c>
      <c r="G629" s="466">
        <v>1</v>
      </c>
      <c r="H629" s="465">
        <v>7</v>
      </c>
      <c r="I629" s="466"/>
      <c r="J629" s="466" t="s">
        <v>961</v>
      </c>
      <c r="K629" s="466">
        <v>9</v>
      </c>
      <c r="L629" s="506">
        <f>9/2</f>
        <v>4.5</v>
      </c>
      <c r="M629" s="463">
        <v>3404</v>
      </c>
      <c r="N629" s="468" t="s">
        <v>3348</v>
      </c>
      <c r="O629" s="466">
        <v>8</v>
      </c>
      <c r="P629" s="523">
        <v>-24</v>
      </c>
      <c r="Q629" s="462">
        <v>1.0273148148148149E-3</v>
      </c>
      <c r="R629" s="463">
        <v>65</v>
      </c>
      <c r="S629" s="466" t="s">
        <v>625</v>
      </c>
      <c r="T629" s="524"/>
      <c r="W629" s="460"/>
      <c r="AY629" s="486">
        <f t="shared" ref="AY629:AY679" si="40">IF(S629="","",R629)</f>
        <v>65</v>
      </c>
      <c r="AZ629" s="487" t="str">
        <f t="shared" ref="AZ629:AZ679" si="41">IF(F629="Pleasant Meadows","",IF(L629="","",IF(O629="--","",IF(O629=1,1,""))))</f>
        <v/>
      </c>
      <c r="CH629" s="459"/>
    </row>
    <row r="630" spans="1:90" s="461" customFormat="1" ht="12" customHeight="1" x14ac:dyDescent="0.15">
      <c r="A630" s="522" t="s">
        <v>4621</v>
      </c>
      <c r="B630" s="467">
        <v>42547</v>
      </c>
      <c r="C630" s="468" t="s">
        <v>4908</v>
      </c>
      <c r="D630" s="468" t="s">
        <v>3892</v>
      </c>
      <c r="E630" s="468" t="s">
        <v>5110</v>
      </c>
      <c r="F630" s="468" t="s">
        <v>540</v>
      </c>
      <c r="G630" s="466">
        <v>1</v>
      </c>
      <c r="H630" s="465">
        <v>7.5</v>
      </c>
      <c r="I630" s="466" t="s">
        <v>3730</v>
      </c>
      <c r="J630" s="466"/>
      <c r="K630" s="466">
        <v>7</v>
      </c>
      <c r="L630" s="525">
        <f>7/2</f>
        <v>3.5</v>
      </c>
      <c r="M630" s="463">
        <v>18000</v>
      </c>
      <c r="N630" s="468" t="s">
        <v>4910</v>
      </c>
      <c r="O630" s="466">
        <v>2</v>
      </c>
      <c r="P630" s="523">
        <v>-2.25</v>
      </c>
      <c r="Q630" s="462">
        <v>1.0370370370370371E-3</v>
      </c>
      <c r="R630" s="463">
        <v>3360</v>
      </c>
      <c r="S630" s="466"/>
      <c r="T630" s="524" t="s">
        <v>3755</v>
      </c>
      <c r="W630" s="460"/>
      <c r="AY630" s="486" t="str">
        <f t="shared" si="40"/>
        <v/>
      </c>
      <c r="AZ630" s="487" t="str">
        <f t="shared" si="41"/>
        <v/>
      </c>
      <c r="CH630" s="459"/>
    </row>
    <row r="631" spans="1:90" s="461" customFormat="1" ht="12" customHeight="1" x14ac:dyDescent="0.15">
      <c r="A631" s="522" t="s">
        <v>58</v>
      </c>
      <c r="B631" s="467">
        <v>42547</v>
      </c>
      <c r="C631" s="468" t="s">
        <v>4774</v>
      </c>
      <c r="D631" s="468" t="s">
        <v>4245</v>
      </c>
      <c r="E631" s="468" t="s">
        <v>5114</v>
      </c>
      <c r="F631" s="468" t="s">
        <v>3300</v>
      </c>
      <c r="G631" s="466">
        <v>2</v>
      </c>
      <c r="H631" s="465">
        <v>8.3000000000000007</v>
      </c>
      <c r="I631" s="466"/>
      <c r="J631" s="466"/>
      <c r="K631" s="466">
        <v>7</v>
      </c>
      <c r="L631" s="525">
        <v>6</v>
      </c>
      <c r="M631" s="463">
        <v>15000</v>
      </c>
      <c r="N631" s="468" t="s">
        <v>4902</v>
      </c>
      <c r="O631" s="466">
        <v>3</v>
      </c>
      <c r="P631" s="523">
        <v>-6.5</v>
      </c>
      <c r="Q631" s="462">
        <v>1.2160879629629631E-3</v>
      </c>
      <c r="R631" s="463">
        <v>1500</v>
      </c>
      <c r="S631" s="466"/>
      <c r="T631" s="524"/>
      <c r="W631" s="460"/>
      <c r="AY631" s="486" t="str">
        <f t="shared" si="40"/>
        <v/>
      </c>
      <c r="AZ631" s="487" t="str">
        <f t="shared" si="41"/>
        <v/>
      </c>
      <c r="CH631" s="459"/>
    </row>
    <row r="632" spans="1:90" s="461" customFormat="1" ht="12" customHeight="1" x14ac:dyDescent="0.15">
      <c r="A632" s="522" t="s">
        <v>3944</v>
      </c>
      <c r="B632" s="467">
        <v>42547</v>
      </c>
      <c r="C632" s="468" t="s">
        <v>3949</v>
      </c>
      <c r="D632" s="468" t="s">
        <v>3945</v>
      </c>
      <c r="E632" s="468" t="s">
        <v>3848</v>
      </c>
      <c r="F632" s="468" t="s">
        <v>3685</v>
      </c>
      <c r="G632" s="466">
        <v>6</v>
      </c>
      <c r="H632" s="465">
        <v>7.5</v>
      </c>
      <c r="I632" s="466"/>
      <c r="J632" s="466" t="s">
        <v>961</v>
      </c>
      <c r="K632" s="466">
        <v>11</v>
      </c>
      <c r="L632" s="525">
        <v>8</v>
      </c>
      <c r="M632" s="463">
        <v>5212</v>
      </c>
      <c r="N632" s="468" t="s">
        <v>3225</v>
      </c>
      <c r="O632" s="466">
        <v>11</v>
      </c>
      <c r="P632" s="523">
        <v>-11.25</v>
      </c>
      <c r="Q632" s="462">
        <v>1.0671296296296295E-3</v>
      </c>
      <c r="R632" s="463">
        <v>65</v>
      </c>
      <c r="S632" s="466" t="s">
        <v>625</v>
      </c>
      <c r="T632" s="524"/>
      <c r="W632" s="460"/>
      <c r="AY632" s="486">
        <f t="shared" si="40"/>
        <v>65</v>
      </c>
      <c r="AZ632" s="487" t="str">
        <f t="shared" si="41"/>
        <v/>
      </c>
      <c r="CH632" s="459"/>
    </row>
    <row r="633" spans="1:90" s="461" customFormat="1" ht="12" customHeight="1" x14ac:dyDescent="0.15">
      <c r="A633" s="522" t="s">
        <v>4206</v>
      </c>
      <c r="B633" s="467">
        <v>42547</v>
      </c>
      <c r="C633" s="468" t="s">
        <v>3951</v>
      </c>
      <c r="D633" s="468" t="s">
        <v>4207</v>
      </c>
      <c r="E633" s="468" t="s">
        <v>4437</v>
      </c>
      <c r="F633" s="468" t="s">
        <v>4070</v>
      </c>
      <c r="G633" s="466">
        <v>6</v>
      </c>
      <c r="H633" s="465">
        <v>7</v>
      </c>
      <c r="I633" s="466"/>
      <c r="J633" s="466" t="s">
        <v>960</v>
      </c>
      <c r="K633" s="466">
        <v>10</v>
      </c>
      <c r="L633" s="464" t="s">
        <v>431</v>
      </c>
      <c r="M633" s="463">
        <v>1270</v>
      </c>
      <c r="N633" s="468" t="s">
        <v>4007</v>
      </c>
      <c r="O633" s="466">
        <v>10</v>
      </c>
      <c r="P633" s="523">
        <v>-17.5</v>
      </c>
      <c r="Q633" s="462">
        <v>1.0196759259259258E-3</v>
      </c>
      <c r="R633" s="463">
        <v>30</v>
      </c>
      <c r="S633" s="466" t="s">
        <v>625</v>
      </c>
      <c r="T633" s="524"/>
      <c r="W633" s="460"/>
      <c r="AY633" s="486">
        <f t="shared" si="40"/>
        <v>30</v>
      </c>
      <c r="AZ633" s="487" t="str">
        <f t="shared" si="41"/>
        <v/>
      </c>
      <c r="CH633" s="459"/>
    </row>
    <row r="634" spans="1:90" s="461" customFormat="1" ht="12" customHeight="1" x14ac:dyDescent="0.15">
      <c r="A634" s="522" t="s">
        <v>4758</v>
      </c>
      <c r="B634" s="467">
        <v>42547</v>
      </c>
      <c r="C634" s="468" t="s">
        <v>2723</v>
      </c>
      <c r="D634" s="468" t="s">
        <v>5106</v>
      </c>
      <c r="E634" s="468" t="s">
        <v>5107</v>
      </c>
      <c r="F634" s="468" t="s">
        <v>3685</v>
      </c>
      <c r="G634" s="466">
        <v>8</v>
      </c>
      <c r="H634" s="465">
        <v>5</v>
      </c>
      <c r="I634" s="466"/>
      <c r="J634" s="466" t="s">
        <v>961</v>
      </c>
      <c r="K634" s="466">
        <v>12</v>
      </c>
      <c r="L634" s="506">
        <f>7/2</f>
        <v>3.5</v>
      </c>
      <c r="M634" s="463">
        <v>3232</v>
      </c>
      <c r="N634" s="468" t="s">
        <v>3348</v>
      </c>
      <c r="O634" s="466">
        <v>4</v>
      </c>
      <c r="P634" s="523">
        <v>-6</v>
      </c>
      <c r="Q634" s="462">
        <v>7.9097222222222232E-4</v>
      </c>
      <c r="R634" s="463">
        <v>195</v>
      </c>
      <c r="S634" s="466" t="s">
        <v>625</v>
      </c>
      <c r="T634" s="524" t="s">
        <v>3755</v>
      </c>
      <c r="W634" s="460"/>
      <c r="AY634" s="486">
        <f t="shared" si="40"/>
        <v>195</v>
      </c>
      <c r="AZ634" s="487" t="str">
        <f t="shared" si="41"/>
        <v/>
      </c>
      <c r="CH634" s="459"/>
    </row>
    <row r="635" spans="1:90" s="461" customFormat="1" ht="12" customHeight="1" x14ac:dyDescent="0.15">
      <c r="A635" s="522" t="s">
        <v>4652</v>
      </c>
      <c r="B635" s="467">
        <v>42547</v>
      </c>
      <c r="C635" s="468" t="s">
        <v>4653</v>
      </c>
      <c r="D635" s="468" t="s">
        <v>3485</v>
      </c>
      <c r="E635" s="468" t="s">
        <v>4536</v>
      </c>
      <c r="F635" s="468" t="s">
        <v>3685</v>
      </c>
      <c r="G635" s="466">
        <v>9</v>
      </c>
      <c r="H635" s="465">
        <v>5</v>
      </c>
      <c r="I635" s="466"/>
      <c r="J635" s="466" t="s">
        <v>961</v>
      </c>
      <c r="K635" s="466">
        <v>12</v>
      </c>
      <c r="L635" s="506">
        <v>3</v>
      </c>
      <c r="M635" s="463">
        <v>3232</v>
      </c>
      <c r="N635" s="468" t="s">
        <v>3348</v>
      </c>
      <c r="O635" s="466">
        <v>2</v>
      </c>
      <c r="P635" s="523">
        <v>-1.25</v>
      </c>
      <c r="Q635" s="462">
        <v>7.9120370370370369E-4</v>
      </c>
      <c r="R635" s="463">
        <v>681</v>
      </c>
      <c r="S635" s="466" t="s">
        <v>625</v>
      </c>
      <c r="T635" s="524" t="s">
        <v>3714</v>
      </c>
      <c r="W635" s="460"/>
      <c r="AY635" s="486">
        <f t="shared" si="40"/>
        <v>681</v>
      </c>
      <c r="AZ635" s="487" t="str">
        <f t="shared" si="41"/>
        <v/>
      </c>
      <c r="CH635" s="459"/>
    </row>
    <row r="636" spans="1:90" s="461" customFormat="1" ht="12" customHeight="1" x14ac:dyDescent="0.15">
      <c r="A636" s="522" t="s">
        <v>3933</v>
      </c>
      <c r="B636" s="467">
        <v>42547</v>
      </c>
      <c r="C636" s="468" t="s">
        <v>3953</v>
      </c>
      <c r="D636" s="468" t="s">
        <v>3947</v>
      </c>
      <c r="E636" s="468" t="s">
        <v>3698</v>
      </c>
      <c r="F636" s="468" t="s">
        <v>3685</v>
      </c>
      <c r="G636" s="466">
        <v>9</v>
      </c>
      <c r="H636" s="465">
        <v>5</v>
      </c>
      <c r="I636" s="466"/>
      <c r="J636" s="466" t="s">
        <v>961</v>
      </c>
      <c r="K636" s="466">
        <v>12</v>
      </c>
      <c r="L636" s="506">
        <v>50</v>
      </c>
      <c r="M636" s="463">
        <v>3232</v>
      </c>
      <c r="N636" s="468" t="s">
        <v>3348</v>
      </c>
      <c r="O636" s="466">
        <v>9</v>
      </c>
      <c r="P636" s="523">
        <v>-9.75</v>
      </c>
      <c r="Q636" s="462">
        <v>7.9120370370370369E-4</v>
      </c>
      <c r="R636" s="463">
        <v>65</v>
      </c>
      <c r="S636" s="466" t="s">
        <v>625</v>
      </c>
      <c r="T636" s="524"/>
      <c r="W636" s="460"/>
      <c r="AY636" s="486">
        <f t="shared" si="40"/>
        <v>65</v>
      </c>
      <c r="AZ636" s="487" t="str">
        <f t="shared" si="41"/>
        <v/>
      </c>
      <c r="CH636" s="459"/>
    </row>
    <row r="637" spans="1:90" s="461" customFormat="1" ht="12" customHeight="1" x14ac:dyDescent="0.15">
      <c r="A637" s="522" t="s">
        <v>3183</v>
      </c>
      <c r="B637" s="467">
        <v>42547</v>
      </c>
      <c r="C637" s="468" t="s">
        <v>4027</v>
      </c>
      <c r="D637" s="468" t="s">
        <v>4028</v>
      </c>
      <c r="E637" s="468" t="s">
        <v>4773</v>
      </c>
      <c r="F637" s="468" t="s">
        <v>540</v>
      </c>
      <c r="G637" s="466">
        <v>5</v>
      </c>
      <c r="H637" s="465">
        <v>8</v>
      </c>
      <c r="I637" s="466" t="s">
        <v>3730</v>
      </c>
      <c r="J637" s="466"/>
      <c r="K637" s="466">
        <v>9</v>
      </c>
      <c r="L637" s="525">
        <f>9/2</f>
        <v>4.5</v>
      </c>
      <c r="M637" s="463">
        <v>30000</v>
      </c>
      <c r="N637" s="468" t="s">
        <v>5111</v>
      </c>
      <c r="O637" s="466">
        <v>6</v>
      </c>
      <c r="P637" s="523">
        <v>-6.75</v>
      </c>
      <c r="Q637" s="462">
        <v>1.0979166666666665E-3</v>
      </c>
      <c r="R637" s="463">
        <v>260</v>
      </c>
      <c r="S637" s="466"/>
      <c r="T637" s="524"/>
      <c r="W637" s="460"/>
      <c r="AY637" s="486" t="str">
        <f t="shared" si="40"/>
        <v/>
      </c>
      <c r="AZ637" s="487" t="str">
        <f t="shared" si="41"/>
        <v/>
      </c>
      <c r="CH637" s="459"/>
    </row>
    <row r="638" spans="1:90" s="461" customFormat="1" ht="12" customHeight="1" x14ac:dyDescent="0.15">
      <c r="A638" s="522" t="s">
        <v>2155</v>
      </c>
      <c r="B638" s="467">
        <v>42547</v>
      </c>
      <c r="C638" s="468" t="s">
        <v>1767</v>
      </c>
      <c r="D638" s="468" t="s">
        <v>5112</v>
      </c>
      <c r="E638" s="468" t="s">
        <v>3880</v>
      </c>
      <c r="F638" s="468" t="s">
        <v>1153</v>
      </c>
      <c r="G638" s="466">
        <v>6</v>
      </c>
      <c r="H638" s="465">
        <v>6</v>
      </c>
      <c r="I638" s="466"/>
      <c r="J638" s="466"/>
      <c r="K638" s="466">
        <v>6</v>
      </c>
      <c r="L638" s="525">
        <f>9/2</f>
        <v>4.5</v>
      </c>
      <c r="M638" s="463">
        <v>30000</v>
      </c>
      <c r="N638" s="468" t="s">
        <v>4598</v>
      </c>
      <c r="O638" s="466">
        <v>5</v>
      </c>
      <c r="P638" s="523">
        <v>-6.5</v>
      </c>
      <c r="Q638" s="462">
        <v>8.267361111111111E-4</v>
      </c>
      <c r="R638" s="463">
        <v>900</v>
      </c>
      <c r="S638" s="466"/>
      <c r="T638" s="524"/>
      <c r="W638" s="460"/>
      <c r="AY638" s="486" t="str">
        <f t="shared" si="40"/>
        <v/>
      </c>
      <c r="AZ638" s="487" t="str">
        <f t="shared" si="41"/>
        <v/>
      </c>
      <c r="CH638" s="459"/>
    </row>
    <row r="639" spans="1:90" s="461" customFormat="1" ht="12" customHeight="1" x14ac:dyDescent="0.15">
      <c r="A639" s="522" t="s">
        <v>3333</v>
      </c>
      <c r="B639" s="467">
        <v>42547</v>
      </c>
      <c r="C639" s="468" t="s">
        <v>4956</v>
      </c>
      <c r="D639" s="468" t="s">
        <v>4957</v>
      </c>
      <c r="E639" s="468" t="s">
        <v>5113</v>
      </c>
      <c r="F639" s="468" t="s">
        <v>5049</v>
      </c>
      <c r="G639" s="466">
        <v>6</v>
      </c>
      <c r="H639" s="465">
        <v>7</v>
      </c>
      <c r="I639" s="466" t="s">
        <v>3730</v>
      </c>
      <c r="J639" s="466"/>
      <c r="K639" s="466">
        <v>8</v>
      </c>
      <c r="L639" s="525">
        <f>8/5</f>
        <v>1.6</v>
      </c>
      <c r="M639" s="463">
        <v>43583</v>
      </c>
      <c r="N639" s="468" t="s">
        <v>4636</v>
      </c>
      <c r="O639" s="466">
        <v>4</v>
      </c>
      <c r="P639" s="523">
        <v>-8.5</v>
      </c>
      <c r="Q639" s="462">
        <v>9.4236111111111116E-4</v>
      </c>
      <c r="R639" s="463">
        <v>3096</v>
      </c>
      <c r="S639" s="466"/>
      <c r="T639" s="524" t="s">
        <v>3714</v>
      </c>
      <c r="W639" s="460"/>
      <c r="AY639" s="486" t="str">
        <f t="shared" si="40"/>
        <v/>
      </c>
      <c r="AZ639" s="487" t="str">
        <f t="shared" si="41"/>
        <v/>
      </c>
      <c r="CH639" s="459"/>
    </row>
    <row r="640" spans="1:90" s="461" customFormat="1" ht="12" customHeight="1" x14ac:dyDescent="0.15">
      <c r="A640" s="522" t="s">
        <v>2151</v>
      </c>
      <c r="B640" s="467">
        <v>42547</v>
      </c>
      <c r="C640" s="468" t="s">
        <v>3852</v>
      </c>
      <c r="D640" s="468" t="s">
        <v>3853</v>
      </c>
      <c r="E640" s="468" t="s">
        <v>4628</v>
      </c>
      <c r="F640" s="468" t="s">
        <v>4171</v>
      </c>
      <c r="G640" s="466">
        <v>8</v>
      </c>
      <c r="H640" s="465">
        <v>8</v>
      </c>
      <c r="I640" s="466"/>
      <c r="J640" s="466"/>
      <c r="K640" s="466">
        <v>9</v>
      </c>
      <c r="L640" s="525">
        <v>20</v>
      </c>
      <c r="M640" s="463">
        <v>42000</v>
      </c>
      <c r="N640" s="468" t="s">
        <v>4578</v>
      </c>
      <c r="O640" s="466">
        <v>5</v>
      </c>
      <c r="P640" s="523">
        <v>-11.5</v>
      </c>
      <c r="Q640" s="462">
        <v>1.155787037037037E-3</v>
      </c>
      <c r="R640" s="463">
        <v>1260</v>
      </c>
      <c r="S640" s="466"/>
      <c r="T640" s="524"/>
      <c r="W640" s="460"/>
      <c r="AY640" s="486" t="str">
        <f t="shared" si="40"/>
        <v/>
      </c>
      <c r="AZ640" s="487" t="str">
        <f t="shared" si="41"/>
        <v/>
      </c>
      <c r="CH640" s="459"/>
    </row>
    <row r="641" spans="1:90" s="461" customFormat="1" ht="12" customHeight="1" x14ac:dyDescent="0.15">
      <c r="A641" s="522" t="s">
        <v>1710</v>
      </c>
      <c r="B641" s="467">
        <v>42547</v>
      </c>
      <c r="C641" s="468" t="s">
        <v>4789</v>
      </c>
      <c r="D641" s="468" t="s">
        <v>4790</v>
      </c>
      <c r="E641" s="468" t="s">
        <v>4256</v>
      </c>
      <c r="F641" s="468" t="s">
        <v>3300</v>
      </c>
      <c r="G641" s="466">
        <v>8</v>
      </c>
      <c r="H641" s="465">
        <v>5.5</v>
      </c>
      <c r="I641" s="466" t="s">
        <v>3730</v>
      </c>
      <c r="J641" s="466"/>
      <c r="K641" s="466">
        <v>10</v>
      </c>
      <c r="L641" s="525">
        <v>15</v>
      </c>
      <c r="M641" s="463">
        <v>16700</v>
      </c>
      <c r="N641" s="468" t="s">
        <v>5115</v>
      </c>
      <c r="O641" s="466">
        <v>9</v>
      </c>
      <c r="P641" s="523">
        <v>-9</v>
      </c>
      <c r="Q641" s="462">
        <v>7.326388888888889E-4</v>
      </c>
      <c r="R641" s="463">
        <v>300</v>
      </c>
      <c r="S641" s="466"/>
      <c r="T641" s="524"/>
      <c r="W641" s="460"/>
      <c r="AY641" s="486" t="str">
        <f t="shared" si="40"/>
        <v/>
      </c>
      <c r="AZ641" s="487" t="str">
        <f t="shared" si="41"/>
        <v/>
      </c>
      <c r="CH641" s="459"/>
    </row>
    <row r="642" spans="1:90" s="461" customFormat="1" ht="12" customHeight="1" x14ac:dyDescent="0.15">
      <c r="A642" s="522" t="s">
        <v>1953</v>
      </c>
      <c r="B642" s="467">
        <v>42547</v>
      </c>
      <c r="C642" s="468" t="s">
        <v>4719</v>
      </c>
      <c r="D642" s="468" t="s">
        <v>4860</v>
      </c>
      <c r="E642" s="468" t="s">
        <v>4979</v>
      </c>
      <c r="F642" s="468" t="s">
        <v>1153</v>
      </c>
      <c r="G642" s="466">
        <v>8</v>
      </c>
      <c r="H642" s="465">
        <v>8.5</v>
      </c>
      <c r="I642" s="466" t="s">
        <v>3730</v>
      </c>
      <c r="J642" s="466"/>
      <c r="K642" s="466">
        <v>10</v>
      </c>
      <c r="L642" s="525">
        <v>6</v>
      </c>
      <c r="M642" s="463">
        <v>22000</v>
      </c>
      <c r="N642" s="468" t="s">
        <v>4720</v>
      </c>
      <c r="O642" s="466">
        <v>2</v>
      </c>
      <c r="P642" s="523">
        <v>-0.5</v>
      </c>
      <c r="Q642" s="462">
        <v>1.1344907407407408E-3</v>
      </c>
      <c r="R642" s="463">
        <v>4620</v>
      </c>
      <c r="S642" s="466"/>
      <c r="T642" s="524"/>
      <c r="W642" s="460"/>
      <c r="AY642" s="486" t="str">
        <f t="shared" si="40"/>
        <v/>
      </c>
      <c r="AZ642" s="487" t="str">
        <f t="shared" si="41"/>
        <v/>
      </c>
      <c r="CH642" s="459"/>
    </row>
    <row r="643" spans="1:90" s="461" customFormat="1" ht="12" customHeight="1" x14ac:dyDescent="0.15">
      <c r="A643" s="522" t="s">
        <v>2121</v>
      </c>
      <c r="B643" s="467">
        <v>42548</v>
      </c>
      <c r="C643" s="468" t="s">
        <v>5015</v>
      </c>
      <c r="D643" s="468" t="s">
        <v>5016</v>
      </c>
      <c r="E643" s="468" t="s">
        <v>5017</v>
      </c>
      <c r="F643" s="468" t="s">
        <v>4171</v>
      </c>
      <c r="G643" s="466">
        <v>3</v>
      </c>
      <c r="H643" s="465">
        <v>5.5</v>
      </c>
      <c r="I643" s="466"/>
      <c r="J643" s="466"/>
      <c r="K643" s="466">
        <v>8</v>
      </c>
      <c r="L643" s="525">
        <v>5</v>
      </c>
      <c r="M643" s="463">
        <v>18000</v>
      </c>
      <c r="N643" s="468" t="s">
        <v>5014</v>
      </c>
      <c r="O643" s="466">
        <v>5</v>
      </c>
      <c r="P643" s="523">
        <v>-13.5</v>
      </c>
      <c r="Q643" s="462">
        <v>8.4594907407407405E-4</v>
      </c>
      <c r="R643" s="463">
        <v>540</v>
      </c>
      <c r="S643" s="466"/>
      <c r="T643" s="524"/>
      <c r="W643" s="460"/>
      <c r="AY643" s="486" t="str">
        <f t="shared" si="40"/>
        <v/>
      </c>
      <c r="AZ643" s="487" t="str">
        <f t="shared" si="41"/>
        <v/>
      </c>
      <c r="CH643" s="459"/>
    </row>
    <row r="644" spans="1:90" s="461" customFormat="1" ht="12" customHeight="1" x14ac:dyDescent="0.15">
      <c r="A644" s="522" t="s">
        <v>1831</v>
      </c>
      <c r="B644" s="467">
        <v>42548</v>
      </c>
      <c r="C644" s="468" t="s">
        <v>4975</v>
      </c>
      <c r="D644" s="468" t="s">
        <v>4968</v>
      </c>
      <c r="E644" s="468" t="s">
        <v>4971</v>
      </c>
      <c r="F644" s="468" t="s">
        <v>4171</v>
      </c>
      <c r="G644" s="466">
        <v>5</v>
      </c>
      <c r="H644" s="465">
        <v>8.5</v>
      </c>
      <c r="I644" s="466" t="s">
        <v>3730</v>
      </c>
      <c r="J644" s="466"/>
      <c r="K644" s="466">
        <v>11</v>
      </c>
      <c r="L644" s="525">
        <f>9/2</f>
        <v>4.5</v>
      </c>
      <c r="M644" s="463">
        <v>39000</v>
      </c>
      <c r="N644" s="468" t="s">
        <v>4983</v>
      </c>
      <c r="O644" s="466">
        <v>6</v>
      </c>
      <c r="P644" s="523">
        <v>-3.5</v>
      </c>
      <c r="Q644" s="462">
        <v>1.1866898148148147E-3</v>
      </c>
      <c r="R644" s="463">
        <v>375</v>
      </c>
      <c r="S644" s="466"/>
      <c r="T644" s="524" t="s">
        <v>3755</v>
      </c>
      <c r="W644" s="460"/>
      <c r="AY644" s="486" t="str">
        <f t="shared" si="40"/>
        <v/>
      </c>
      <c r="AZ644" s="487" t="str">
        <f t="shared" si="41"/>
        <v/>
      </c>
      <c r="CH644" s="459"/>
    </row>
    <row r="645" spans="1:90" s="461" customFormat="1" ht="12" customHeight="1" x14ac:dyDescent="0.15">
      <c r="A645" s="522" t="s">
        <v>2364</v>
      </c>
      <c r="B645" s="467">
        <v>42550</v>
      </c>
      <c r="C645" s="468" t="s">
        <v>3922</v>
      </c>
      <c r="D645" s="468" t="s">
        <v>3923</v>
      </c>
      <c r="E645" s="468" t="s">
        <v>3924</v>
      </c>
      <c r="F645" s="468" t="s">
        <v>4828</v>
      </c>
      <c r="G645" s="466">
        <v>2</v>
      </c>
      <c r="H645" s="465">
        <v>6.5</v>
      </c>
      <c r="I645" s="466" t="s">
        <v>1360</v>
      </c>
      <c r="J645" s="466"/>
      <c r="K645" s="466">
        <v>6</v>
      </c>
      <c r="L645" s="525">
        <f>5/2</f>
        <v>2.5</v>
      </c>
      <c r="M645" s="463">
        <v>14000</v>
      </c>
      <c r="N645" s="468" t="s">
        <v>197</v>
      </c>
      <c r="O645" s="466">
        <v>3</v>
      </c>
      <c r="P645" s="523">
        <v>-4</v>
      </c>
      <c r="Q645" s="462">
        <v>9.1168981481481483E-4</v>
      </c>
      <c r="R645" s="463">
        <v>1820</v>
      </c>
      <c r="S645" s="466"/>
      <c r="T645" s="524" t="s">
        <v>3755</v>
      </c>
      <c r="W645" s="460"/>
      <c r="AY645" s="486" t="str">
        <f t="shared" si="40"/>
        <v/>
      </c>
      <c r="AZ645" s="487" t="str">
        <f t="shared" si="41"/>
        <v/>
      </c>
      <c r="CH645" s="459"/>
    </row>
    <row r="646" spans="1:90" s="461" customFormat="1" ht="12" customHeight="1" x14ac:dyDescent="0.15">
      <c r="A646" s="522" t="s">
        <v>1670</v>
      </c>
      <c r="B646" s="467">
        <v>42551</v>
      </c>
      <c r="C646" s="468" t="s">
        <v>5102</v>
      </c>
      <c r="D646" s="468" t="s">
        <v>5101</v>
      </c>
      <c r="E646" s="468" t="s">
        <v>5100</v>
      </c>
      <c r="F646" s="468" t="s">
        <v>1828</v>
      </c>
      <c r="G646" s="466">
        <v>1</v>
      </c>
      <c r="H646" s="465">
        <v>4</v>
      </c>
      <c r="I646" s="466"/>
      <c r="J646" s="466"/>
      <c r="K646" s="466">
        <v>5</v>
      </c>
      <c r="L646" s="506">
        <v>8</v>
      </c>
      <c r="M646" s="463">
        <v>4500</v>
      </c>
      <c r="N646" s="468" t="s">
        <v>4897</v>
      </c>
      <c r="O646" s="466">
        <v>4</v>
      </c>
      <c r="P646" s="523">
        <v>-9.75</v>
      </c>
      <c r="Q646" s="462">
        <v>5.6111111111111108E-4</v>
      </c>
      <c r="R646" s="463">
        <v>270</v>
      </c>
      <c r="S646" s="466"/>
      <c r="T646" s="524"/>
      <c r="W646" s="460"/>
      <c r="AY646" s="486" t="str">
        <f t="shared" si="40"/>
        <v/>
      </c>
      <c r="AZ646" s="487" t="str">
        <f t="shared" si="41"/>
        <v/>
      </c>
      <c r="CH646" s="459"/>
    </row>
    <row r="647" spans="1:90" s="461" customFormat="1" ht="12" customHeight="1" x14ac:dyDescent="0.15">
      <c r="A647" s="522" t="s">
        <v>2166</v>
      </c>
      <c r="B647" s="467">
        <v>42551</v>
      </c>
      <c r="C647" s="468" t="s">
        <v>4886</v>
      </c>
      <c r="D647" s="468" t="s">
        <v>4884</v>
      </c>
      <c r="E647" s="468" t="s">
        <v>3788</v>
      </c>
      <c r="F647" s="468" t="s">
        <v>2376</v>
      </c>
      <c r="G647" s="466">
        <v>3</v>
      </c>
      <c r="H647" s="465">
        <v>8.3000000000000007</v>
      </c>
      <c r="I647" s="466" t="s">
        <v>3730</v>
      </c>
      <c r="J647" s="466"/>
      <c r="K647" s="466">
        <v>7</v>
      </c>
      <c r="L647" s="506">
        <f>9/2</f>
        <v>4.5</v>
      </c>
      <c r="M647" s="463">
        <v>29500</v>
      </c>
      <c r="N647" s="468" t="s">
        <v>4296</v>
      </c>
      <c r="O647" s="466">
        <v>2</v>
      </c>
      <c r="P647" s="523">
        <v>-1.5</v>
      </c>
      <c r="Q647" s="462">
        <v>1.1251157407407405E-3</v>
      </c>
      <c r="R647" s="463">
        <v>7080</v>
      </c>
      <c r="S647" s="466"/>
      <c r="T647" s="524"/>
      <c r="W647" s="460"/>
      <c r="AY647" s="486" t="str">
        <f t="shared" si="40"/>
        <v/>
      </c>
      <c r="AZ647" s="487" t="str">
        <f t="shared" si="41"/>
        <v/>
      </c>
      <c r="CH647" s="459"/>
    </row>
    <row r="648" spans="1:90" s="469" customFormat="1" ht="12" customHeight="1" x14ac:dyDescent="0.15">
      <c r="A648" s="471" t="s">
        <v>2467</v>
      </c>
      <c r="B648" s="472">
        <v>42552</v>
      </c>
      <c r="C648" s="471" t="s">
        <v>3186</v>
      </c>
      <c r="D648" s="471" t="s">
        <v>5144</v>
      </c>
      <c r="E648" s="471" t="s">
        <v>5145</v>
      </c>
      <c r="F648" s="471" t="s">
        <v>433</v>
      </c>
      <c r="G648" s="473">
        <v>1</v>
      </c>
      <c r="H648" s="474">
        <v>8.5</v>
      </c>
      <c r="I648" s="475"/>
      <c r="J648" s="475"/>
      <c r="K648" s="473">
        <v>6</v>
      </c>
      <c r="L648" s="458">
        <v>12</v>
      </c>
      <c r="M648" s="476">
        <v>34000</v>
      </c>
      <c r="N648" s="471" t="s">
        <v>4598</v>
      </c>
      <c r="O648" s="477" t="s">
        <v>431</v>
      </c>
      <c r="P648" s="478" t="s">
        <v>431</v>
      </c>
      <c r="Q648" s="479" t="s">
        <v>431</v>
      </c>
      <c r="R648" s="480" t="s">
        <v>431</v>
      </c>
      <c r="S648" s="477"/>
      <c r="T648" s="481" t="s">
        <v>3885</v>
      </c>
      <c r="U648" s="482"/>
      <c r="V648" s="482"/>
      <c r="W648" s="483"/>
      <c r="X648" s="482"/>
      <c r="Y648" s="482"/>
      <c r="Z648" s="482"/>
      <c r="AA648" s="482"/>
      <c r="AB648" s="482"/>
      <c r="AC648" s="482"/>
      <c r="AD648" s="482"/>
      <c r="AE648" s="482"/>
      <c r="AF648" s="482"/>
      <c r="AG648" s="482"/>
      <c r="AH648" s="482"/>
      <c r="AI648" s="482"/>
      <c r="AJ648" s="482"/>
      <c r="AK648" s="482"/>
      <c r="AL648" s="482"/>
      <c r="AM648" s="482"/>
      <c r="AN648" s="482"/>
      <c r="AO648" s="482"/>
      <c r="AP648" s="482"/>
      <c r="AQ648" s="482"/>
      <c r="AR648" s="482"/>
      <c r="AS648" s="482"/>
      <c r="AT648" s="482"/>
      <c r="AU648" s="482"/>
      <c r="AV648" s="482"/>
      <c r="AW648" s="482"/>
      <c r="AX648" s="482"/>
      <c r="AY648" s="486" t="str">
        <f t="shared" si="40"/>
        <v/>
      </c>
      <c r="AZ648" s="487" t="str">
        <f t="shared" si="41"/>
        <v/>
      </c>
      <c r="BA648" s="482"/>
      <c r="BB648" s="482"/>
      <c r="BC648" s="482"/>
      <c r="BD648" s="482"/>
      <c r="BE648" s="482"/>
      <c r="BF648" s="482"/>
      <c r="BG648" s="482"/>
      <c r="BH648" s="482"/>
      <c r="BI648" s="482"/>
      <c r="BJ648" s="482"/>
      <c r="BK648" s="482"/>
      <c r="BL648" s="482"/>
      <c r="BM648" s="482"/>
      <c r="BN648" s="482"/>
      <c r="BO648" s="482"/>
      <c r="BP648" s="482"/>
      <c r="BQ648" s="482"/>
      <c r="BR648" s="482"/>
      <c r="BS648" s="482"/>
      <c r="BT648" s="482"/>
      <c r="BU648" s="482"/>
      <c r="BV648" s="482"/>
      <c r="BW648" s="482"/>
      <c r="BX648" s="482"/>
      <c r="BY648" s="482"/>
      <c r="BZ648" s="482"/>
      <c r="CA648" s="482"/>
      <c r="CB648" s="482"/>
      <c r="CC648" s="482"/>
      <c r="CD648" s="482"/>
      <c r="CE648" s="482"/>
      <c r="CF648" s="482"/>
      <c r="CG648" s="482"/>
      <c r="CH648" s="484"/>
    </row>
    <row r="649" spans="1:90" s="461" customFormat="1" ht="12" customHeight="1" x14ac:dyDescent="0.15">
      <c r="A649" s="522" t="s">
        <v>3064</v>
      </c>
      <c r="B649" s="467">
        <v>42552</v>
      </c>
      <c r="C649" s="468" t="s">
        <v>2511</v>
      </c>
      <c r="D649" s="468" t="s">
        <v>3877</v>
      </c>
      <c r="E649" s="468" t="s">
        <v>4337</v>
      </c>
      <c r="F649" s="468" t="s">
        <v>788</v>
      </c>
      <c r="G649" s="466">
        <v>6</v>
      </c>
      <c r="H649" s="465">
        <v>8.5</v>
      </c>
      <c r="I649" s="466" t="s">
        <v>3730</v>
      </c>
      <c r="J649" s="466"/>
      <c r="K649" s="466">
        <v>12</v>
      </c>
      <c r="L649" s="506">
        <v>15</v>
      </c>
      <c r="M649" s="463">
        <v>33000</v>
      </c>
      <c r="N649" s="468" t="s">
        <v>4945</v>
      </c>
      <c r="O649" s="466">
        <v>7</v>
      </c>
      <c r="P649" s="523">
        <v>-6.5</v>
      </c>
      <c r="Q649" s="462">
        <v>1.1820601851851853E-3</v>
      </c>
      <c r="R649" s="463">
        <v>0</v>
      </c>
      <c r="S649" s="466"/>
      <c r="T649" s="524"/>
      <c r="W649" s="460"/>
      <c r="AY649" s="486" t="str">
        <f t="shared" si="40"/>
        <v/>
      </c>
      <c r="AZ649" s="487" t="str">
        <f t="shared" si="41"/>
        <v/>
      </c>
      <c r="CH649" s="459"/>
    </row>
    <row r="650" spans="1:90" s="461" customFormat="1" ht="12" customHeight="1" x14ac:dyDescent="0.15">
      <c r="A650" s="522" t="s">
        <v>2228</v>
      </c>
      <c r="B650" s="467">
        <v>42552</v>
      </c>
      <c r="C650" s="468" t="s">
        <v>3866</v>
      </c>
      <c r="D650" s="468" t="s">
        <v>4491</v>
      </c>
      <c r="E650" s="468" t="s">
        <v>4492</v>
      </c>
      <c r="F650" s="468" t="s">
        <v>993</v>
      </c>
      <c r="G650" s="466">
        <v>1</v>
      </c>
      <c r="H650" s="465">
        <v>4.5</v>
      </c>
      <c r="I650" s="466"/>
      <c r="J650" s="466"/>
      <c r="K650" s="466">
        <v>10</v>
      </c>
      <c r="L650" s="506">
        <f>2</f>
        <v>2</v>
      </c>
      <c r="M650" s="463">
        <v>10000</v>
      </c>
      <c r="N650" s="468" t="s">
        <v>4562</v>
      </c>
      <c r="O650" s="466">
        <v>5</v>
      </c>
      <c r="P650" s="523">
        <v>-2.75</v>
      </c>
      <c r="Q650" s="462">
        <v>6.3495370370370366E-4</v>
      </c>
      <c r="R650" s="463">
        <v>288</v>
      </c>
      <c r="S650" s="466"/>
      <c r="T650" s="524"/>
      <c r="W650" s="460"/>
      <c r="AY650" s="486" t="str">
        <f t="shared" si="40"/>
        <v/>
      </c>
      <c r="AZ650" s="487" t="str">
        <f t="shared" si="41"/>
        <v/>
      </c>
      <c r="CH650" s="459"/>
    </row>
    <row r="651" spans="1:90" s="461" customFormat="1" ht="12" customHeight="1" x14ac:dyDescent="0.15">
      <c r="A651" s="522" t="s">
        <v>2218</v>
      </c>
      <c r="B651" s="467">
        <v>42552</v>
      </c>
      <c r="C651" s="468" t="s">
        <v>4663</v>
      </c>
      <c r="D651" s="468" t="s">
        <v>4664</v>
      </c>
      <c r="E651" s="468" t="s">
        <v>3878</v>
      </c>
      <c r="F651" s="468" t="s">
        <v>788</v>
      </c>
      <c r="G651" s="466">
        <v>9</v>
      </c>
      <c r="H651" s="465">
        <v>5.5</v>
      </c>
      <c r="I651" s="466" t="s">
        <v>3730</v>
      </c>
      <c r="J651" s="466"/>
      <c r="K651" s="466">
        <v>12</v>
      </c>
      <c r="L651" s="506">
        <f>9/2</f>
        <v>4.5</v>
      </c>
      <c r="M651" s="463">
        <v>22000</v>
      </c>
      <c r="N651" s="468" t="s">
        <v>4752</v>
      </c>
      <c r="O651" s="466">
        <v>6</v>
      </c>
      <c r="P651" s="523">
        <v>-1.75</v>
      </c>
      <c r="Q651" s="462">
        <v>7.355324074074074E-4</v>
      </c>
      <c r="R651" s="463">
        <v>440</v>
      </c>
      <c r="S651" s="466"/>
      <c r="T651" s="524"/>
      <c r="W651" s="460"/>
      <c r="AY651" s="486" t="str">
        <f t="shared" si="40"/>
        <v/>
      </c>
      <c r="AZ651" s="487" t="str">
        <f t="shared" si="41"/>
        <v/>
      </c>
      <c r="CH651" s="459"/>
    </row>
    <row r="652" spans="1:90" s="461" customFormat="1" ht="12" customHeight="1" x14ac:dyDescent="0.15">
      <c r="A652" s="522" t="s">
        <v>3158</v>
      </c>
      <c r="B652" s="467">
        <v>42553</v>
      </c>
      <c r="C652" s="468" t="s">
        <v>4170</v>
      </c>
      <c r="D652" s="468" t="s">
        <v>3705</v>
      </c>
      <c r="E652" s="468" t="s">
        <v>1623</v>
      </c>
      <c r="F652" s="468" t="s">
        <v>4171</v>
      </c>
      <c r="G652" s="466">
        <v>3</v>
      </c>
      <c r="H652" s="465">
        <v>8.5</v>
      </c>
      <c r="I652" s="466"/>
      <c r="J652" s="466"/>
      <c r="K652" s="466">
        <v>10</v>
      </c>
      <c r="L652" s="506">
        <v>6</v>
      </c>
      <c r="M652" s="463">
        <v>37000</v>
      </c>
      <c r="N652" s="468" t="s">
        <v>4211</v>
      </c>
      <c r="O652" s="466">
        <v>3</v>
      </c>
      <c r="P652" s="523">
        <v>-1.5</v>
      </c>
      <c r="Q652" s="462">
        <v>1.2480324074074073E-3</v>
      </c>
      <c r="R652" s="463">
        <v>4070</v>
      </c>
      <c r="S652" s="466"/>
      <c r="T652" s="524"/>
      <c r="W652" s="460"/>
      <c r="AY652" s="486" t="str">
        <f t="shared" si="40"/>
        <v/>
      </c>
      <c r="AZ652" s="487" t="str">
        <f t="shared" si="41"/>
        <v/>
      </c>
      <c r="CH652" s="459"/>
    </row>
    <row r="653" spans="1:90" s="469" customFormat="1" ht="12" customHeight="1" x14ac:dyDescent="0.15">
      <c r="A653" s="471" t="s">
        <v>2157</v>
      </c>
      <c r="B653" s="472">
        <v>42553</v>
      </c>
      <c r="C653" s="471" t="s">
        <v>4944</v>
      </c>
      <c r="D653" s="471" t="s">
        <v>4941</v>
      </c>
      <c r="E653" s="471" t="s">
        <v>5025</v>
      </c>
      <c r="F653" s="471" t="s">
        <v>4171</v>
      </c>
      <c r="G653" s="473">
        <v>6</v>
      </c>
      <c r="H653" s="474">
        <v>5</v>
      </c>
      <c r="I653" s="475" t="s">
        <v>3730</v>
      </c>
      <c r="J653" s="475"/>
      <c r="K653" s="473">
        <v>10</v>
      </c>
      <c r="L653" s="458">
        <v>15</v>
      </c>
      <c r="M653" s="476">
        <v>50000</v>
      </c>
      <c r="N653" s="471" t="s">
        <v>4636</v>
      </c>
      <c r="O653" s="477" t="s">
        <v>431</v>
      </c>
      <c r="P653" s="478" t="s">
        <v>431</v>
      </c>
      <c r="Q653" s="479" t="s">
        <v>431</v>
      </c>
      <c r="R653" s="480" t="s">
        <v>431</v>
      </c>
      <c r="S653" s="477"/>
      <c r="T653" s="481" t="s">
        <v>5159</v>
      </c>
      <c r="U653" s="482"/>
      <c r="V653" s="482"/>
      <c r="W653" s="483"/>
      <c r="X653" s="482"/>
      <c r="Y653" s="482"/>
      <c r="Z653" s="482"/>
      <c r="AA653" s="482"/>
      <c r="AB653" s="482"/>
      <c r="AC653" s="482"/>
      <c r="AD653" s="482"/>
      <c r="AE653" s="482"/>
      <c r="AF653" s="482"/>
      <c r="AG653" s="482"/>
      <c r="AH653" s="482"/>
      <c r="AI653" s="482"/>
      <c r="AJ653" s="482"/>
      <c r="AK653" s="482"/>
      <c r="AL653" s="482"/>
      <c r="AM653" s="482"/>
      <c r="AN653" s="482"/>
      <c r="AO653" s="482"/>
      <c r="AP653" s="482"/>
      <c r="AQ653" s="482"/>
      <c r="AR653" s="482"/>
      <c r="AS653" s="482"/>
      <c r="AT653" s="482"/>
      <c r="AU653" s="482"/>
      <c r="AV653" s="482"/>
      <c r="AW653" s="482"/>
      <c r="AX653" s="482"/>
      <c r="AY653" s="486" t="str">
        <f t="shared" si="40"/>
        <v/>
      </c>
      <c r="AZ653" s="487" t="str">
        <f t="shared" si="41"/>
        <v/>
      </c>
      <c r="BA653" s="482"/>
      <c r="BB653" s="482"/>
      <c r="BC653" s="482"/>
      <c r="BD653" s="482"/>
      <c r="BE653" s="482"/>
      <c r="BF653" s="482"/>
      <c r="BG653" s="482"/>
      <c r="BH653" s="482"/>
      <c r="BI653" s="482"/>
      <c r="BJ653" s="482"/>
      <c r="BK653" s="482"/>
      <c r="BL653" s="482"/>
      <c r="BM653" s="482"/>
      <c r="BN653" s="482"/>
      <c r="BO653" s="482"/>
      <c r="BP653" s="482"/>
      <c r="BQ653" s="482"/>
      <c r="BR653" s="482"/>
      <c r="BS653" s="482"/>
      <c r="BT653" s="482"/>
      <c r="BU653" s="482"/>
      <c r="BV653" s="482"/>
      <c r="BW653" s="482"/>
      <c r="BX653" s="482"/>
      <c r="BY653" s="482"/>
      <c r="BZ653" s="482"/>
      <c r="CA653" s="482"/>
      <c r="CB653" s="482"/>
      <c r="CC653" s="482"/>
      <c r="CD653" s="482"/>
      <c r="CE653" s="482"/>
      <c r="CF653" s="482"/>
      <c r="CG653" s="482"/>
      <c r="CH653" s="484"/>
    </row>
    <row r="654" spans="1:90" s="461" customFormat="1" ht="12" customHeight="1" x14ac:dyDescent="0.15">
      <c r="A654" s="522" t="s">
        <v>4175</v>
      </c>
      <c r="B654" s="467">
        <v>42553</v>
      </c>
      <c r="C654" s="468" t="s">
        <v>2605</v>
      </c>
      <c r="D654" s="468" t="s">
        <v>5035</v>
      </c>
      <c r="E654" s="468" t="s">
        <v>5107</v>
      </c>
      <c r="F654" s="468" t="s">
        <v>3686</v>
      </c>
      <c r="G654" s="466">
        <v>14</v>
      </c>
      <c r="H654" s="465">
        <v>7</v>
      </c>
      <c r="I654" s="466"/>
      <c r="J654" s="466" t="s">
        <v>960</v>
      </c>
      <c r="K654" s="466">
        <v>13</v>
      </c>
      <c r="L654" s="506">
        <v>8</v>
      </c>
      <c r="M654" s="463">
        <v>5470</v>
      </c>
      <c r="N654" s="468" t="s">
        <v>5137</v>
      </c>
      <c r="O654" s="466">
        <v>13</v>
      </c>
      <c r="P654" s="523">
        <v>-15.5</v>
      </c>
      <c r="Q654" s="462">
        <v>1.0023148148148148E-3</v>
      </c>
      <c r="R654" s="463">
        <v>99</v>
      </c>
      <c r="S654" s="466" t="s">
        <v>625</v>
      </c>
      <c r="T654" s="524"/>
      <c r="W654" s="460"/>
      <c r="AY654" s="486">
        <f t="shared" si="40"/>
        <v>99</v>
      </c>
      <c r="AZ654" s="487" t="str">
        <f t="shared" si="41"/>
        <v/>
      </c>
      <c r="CH654" s="459"/>
    </row>
    <row r="655" spans="1:90" s="469" customFormat="1" ht="12" customHeight="1" x14ac:dyDescent="0.15">
      <c r="A655" s="444" t="s">
        <v>1816</v>
      </c>
      <c r="B655" s="445">
        <v>42553</v>
      </c>
      <c r="C655" s="446" t="s">
        <v>3704</v>
      </c>
      <c r="D655" s="446" t="s">
        <v>3705</v>
      </c>
      <c r="E655" s="446" t="s">
        <v>3280</v>
      </c>
      <c r="F655" s="446" t="s">
        <v>3300</v>
      </c>
      <c r="G655" s="447">
        <v>11</v>
      </c>
      <c r="H655" s="448">
        <v>8</v>
      </c>
      <c r="I655" s="447"/>
      <c r="J655" s="447"/>
      <c r="K655" s="447">
        <v>6</v>
      </c>
      <c r="L655" s="449">
        <v>6</v>
      </c>
      <c r="M655" s="450">
        <v>100000</v>
      </c>
      <c r="N655" s="446" t="s">
        <v>5139</v>
      </c>
      <c r="O655" s="447">
        <v>1</v>
      </c>
      <c r="P655" s="451">
        <v>3.75</v>
      </c>
      <c r="Q655" s="452">
        <v>1.1119212962962964E-3</v>
      </c>
      <c r="R655" s="450">
        <v>60000</v>
      </c>
      <c r="S655" s="447"/>
      <c r="T655" s="453"/>
      <c r="U655" s="454"/>
      <c r="V655" s="454"/>
      <c r="W655" s="455"/>
      <c r="X655" s="454"/>
      <c r="Y655" s="454"/>
      <c r="Z655" s="454"/>
      <c r="AA655" s="454"/>
      <c r="AB655" s="454"/>
      <c r="AC655" s="454"/>
      <c r="AD655" s="454"/>
      <c r="AE655" s="454"/>
      <c r="AF655" s="454"/>
      <c r="AG655" s="454"/>
      <c r="AH655" s="454"/>
      <c r="AI655" s="454"/>
      <c r="AJ655" s="454"/>
      <c r="AK655" s="454"/>
      <c r="AL655" s="454"/>
      <c r="AM655" s="454"/>
      <c r="AN655" s="454"/>
      <c r="AO655" s="454"/>
      <c r="AP655" s="454"/>
      <c r="AQ655" s="454"/>
      <c r="AR655" s="454"/>
      <c r="AS655" s="454"/>
      <c r="AT655" s="454"/>
      <c r="AU655" s="454"/>
      <c r="AV655" s="454"/>
      <c r="AW655" s="454"/>
      <c r="AX655" s="454"/>
      <c r="AY655" s="486" t="str">
        <f t="shared" si="40"/>
        <v/>
      </c>
      <c r="AZ655" s="487">
        <f t="shared" si="41"/>
        <v>1</v>
      </c>
      <c r="BA655" s="454"/>
      <c r="BB655" s="454"/>
      <c r="BC655" s="454"/>
      <c r="BD655" s="454"/>
      <c r="BE655" s="454"/>
      <c r="BF655" s="454"/>
      <c r="BG655" s="454"/>
      <c r="BH655" s="454"/>
      <c r="BI655" s="454"/>
      <c r="BJ655" s="454"/>
      <c r="BK655" s="454"/>
      <c r="BL655" s="454"/>
      <c r="BM655" s="454"/>
      <c r="BN655" s="454"/>
      <c r="BO655" s="454"/>
      <c r="BP655" s="454"/>
      <c r="BQ655" s="454"/>
      <c r="BR655" s="454"/>
      <c r="BS655" s="454"/>
      <c r="BT655" s="454"/>
      <c r="BU655" s="454"/>
      <c r="BV655" s="454"/>
      <c r="BW655" s="454"/>
      <c r="BX655" s="454"/>
      <c r="BY655" s="454"/>
      <c r="BZ655" s="454"/>
      <c r="CA655" s="454"/>
      <c r="CB655" s="454"/>
      <c r="CC655" s="454"/>
      <c r="CD655" s="454"/>
      <c r="CE655" s="454"/>
      <c r="CF655" s="454"/>
      <c r="CG655" s="454"/>
      <c r="CH655" s="456"/>
      <c r="CI655" s="454"/>
      <c r="CJ655" s="454"/>
      <c r="CK655" s="454"/>
      <c r="CL655" s="454"/>
    </row>
    <row r="656" spans="1:90" s="461" customFormat="1" ht="12" customHeight="1" x14ac:dyDescent="0.15">
      <c r="A656" s="522" t="s">
        <v>4654</v>
      </c>
      <c r="B656" s="467">
        <v>42553</v>
      </c>
      <c r="C656" s="468" t="s">
        <v>2605</v>
      </c>
      <c r="D656" s="468" t="s">
        <v>5035</v>
      </c>
      <c r="E656" s="468" t="s">
        <v>5107</v>
      </c>
      <c r="F656" s="468" t="s">
        <v>3686</v>
      </c>
      <c r="G656" s="466">
        <v>15</v>
      </c>
      <c r="H656" s="465">
        <v>5.5</v>
      </c>
      <c r="I656" s="466"/>
      <c r="J656" s="466" t="s">
        <v>960</v>
      </c>
      <c r="K656" s="466">
        <v>13</v>
      </c>
      <c r="L656" s="506">
        <v>20</v>
      </c>
      <c r="M656" s="463">
        <v>4480</v>
      </c>
      <c r="N656" s="468" t="s">
        <v>5135</v>
      </c>
      <c r="O656" s="466">
        <v>13</v>
      </c>
      <c r="P656" s="523">
        <v>-22.25</v>
      </c>
      <c r="Q656" s="462">
        <v>7.828703703703704E-4</v>
      </c>
      <c r="R656" s="463">
        <v>99</v>
      </c>
      <c r="S656" s="466" t="s">
        <v>625</v>
      </c>
      <c r="T656" s="524"/>
      <c r="W656" s="460"/>
      <c r="AY656" s="486">
        <f t="shared" si="40"/>
        <v>99</v>
      </c>
      <c r="AZ656" s="487" t="str">
        <f t="shared" si="41"/>
        <v/>
      </c>
      <c r="CH656" s="459"/>
    </row>
    <row r="657" spans="1:90" s="469" customFormat="1" ht="12" customHeight="1" x14ac:dyDescent="0.15">
      <c r="A657" s="471" t="s">
        <v>5165</v>
      </c>
      <c r="B657" s="472">
        <v>42553</v>
      </c>
      <c r="C657" s="471" t="s">
        <v>4013</v>
      </c>
      <c r="D657" s="471" t="s">
        <v>4014</v>
      </c>
      <c r="E657" s="471" t="s">
        <v>4178</v>
      </c>
      <c r="F657" s="471" t="s">
        <v>3686</v>
      </c>
      <c r="G657" s="473">
        <v>15</v>
      </c>
      <c r="H657" s="474">
        <v>5.5</v>
      </c>
      <c r="I657" s="475"/>
      <c r="J657" s="475" t="s">
        <v>960</v>
      </c>
      <c r="K657" s="473">
        <v>14</v>
      </c>
      <c r="L657" s="458">
        <v>4</v>
      </c>
      <c r="M657" s="476">
        <v>4480</v>
      </c>
      <c r="N657" s="471" t="s">
        <v>5135</v>
      </c>
      <c r="O657" s="477" t="s">
        <v>431</v>
      </c>
      <c r="P657" s="478" t="s">
        <v>431</v>
      </c>
      <c r="Q657" s="479" t="s">
        <v>431</v>
      </c>
      <c r="R657" s="480" t="s">
        <v>431</v>
      </c>
      <c r="S657" s="477" t="s">
        <v>625</v>
      </c>
      <c r="T657" s="481" t="s">
        <v>3885</v>
      </c>
      <c r="U657" s="482"/>
      <c r="V657" s="482"/>
      <c r="W657" s="483"/>
      <c r="X657" s="482"/>
      <c r="Y657" s="482"/>
      <c r="Z657" s="482"/>
      <c r="AA657" s="482"/>
      <c r="AB657" s="482"/>
      <c r="AC657" s="482"/>
      <c r="AD657" s="482"/>
      <c r="AE657" s="482"/>
      <c r="AF657" s="482"/>
      <c r="AG657" s="482"/>
      <c r="AH657" s="482"/>
      <c r="AI657" s="482"/>
      <c r="AJ657" s="482"/>
      <c r="AK657" s="482"/>
      <c r="AL657" s="482"/>
      <c r="AM657" s="482"/>
      <c r="AN657" s="482"/>
      <c r="AO657" s="482"/>
      <c r="AP657" s="482"/>
      <c r="AQ657" s="482"/>
      <c r="AR657" s="482"/>
      <c r="AS657" s="482"/>
      <c r="AT657" s="482"/>
      <c r="AU657" s="482"/>
      <c r="AV657" s="482"/>
      <c r="AW657" s="482"/>
      <c r="AX657" s="482"/>
      <c r="AY657" s="486" t="str">
        <f t="shared" si="40"/>
        <v>--</v>
      </c>
      <c r="AZ657" s="487" t="str">
        <f t="shared" si="41"/>
        <v/>
      </c>
      <c r="BA657" s="482"/>
      <c r="BB657" s="482"/>
      <c r="BC657" s="482"/>
      <c r="BD657" s="482"/>
      <c r="BE657" s="482"/>
      <c r="BF657" s="482"/>
      <c r="BG657" s="482"/>
      <c r="BH657" s="482"/>
      <c r="BI657" s="482"/>
      <c r="BJ657" s="482"/>
      <c r="BK657" s="482"/>
      <c r="BL657" s="482"/>
      <c r="BM657" s="482"/>
      <c r="BN657" s="482"/>
      <c r="BO657" s="482"/>
      <c r="BP657" s="482"/>
      <c r="BQ657" s="482"/>
      <c r="BR657" s="482"/>
      <c r="BS657" s="482"/>
      <c r="BT657" s="482"/>
      <c r="BU657" s="482"/>
      <c r="BV657" s="482"/>
      <c r="BW657" s="482"/>
      <c r="BX657" s="482"/>
      <c r="BY657" s="482"/>
      <c r="BZ657" s="482"/>
      <c r="CA657" s="482"/>
      <c r="CB657" s="482"/>
      <c r="CC657" s="482"/>
      <c r="CD657" s="482"/>
      <c r="CE657" s="482"/>
      <c r="CF657" s="482"/>
      <c r="CG657" s="482"/>
      <c r="CH657" s="484"/>
    </row>
    <row r="658" spans="1:90" s="461" customFormat="1" ht="12" customHeight="1" x14ac:dyDescent="0.15">
      <c r="A658" s="522" t="s">
        <v>3327</v>
      </c>
      <c r="B658" s="467">
        <v>42553</v>
      </c>
      <c r="C658" s="468" t="s">
        <v>3330</v>
      </c>
      <c r="D658" s="468" t="s">
        <v>3497</v>
      </c>
      <c r="E658" s="468" t="s">
        <v>3684</v>
      </c>
      <c r="F658" s="468" t="s">
        <v>3686</v>
      </c>
      <c r="G658" s="466">
        <v>15</v>
      </c>
      <c r="H658" s="465">
        <v>5.5</v>
      </c>
      <c r="I658" s="466"/>
      <c r="J658" s="466" t="s">
        <v>960</v>
      </c>
      <c r="K658" s="466">
        <v>14</v>
      </c>
      <c r="L658" s="506">
        <v>12</v>
      </c>
      <c r="M658" s="463">
        <v>4480</v>
      </c>
      <c r="N658" s="468" t="s">
        <v>5135</v>
      </c>
      <c r="O658" s="466">
        <v>7</v>
      </c>
      <c r="P658" s="523">
        <v>-7.75</v>
      </c>
      <c r="Q658" s="462">
        <v>7.828703703703704E-4</v>
      </c>
      <c r="R658" s="463">
        <v>99</v>
      </c>
      <c r="S658" s="466" t="s">
        <v>625</v>
      </c>
      <c r="T658" s="524"/>
      <c r="W658" s="460"/>
      <c r="AY658" s="486">
        <f t="shared" si="40"/>
        <v>99</v>
      </c>
      <c r="AZ658" s="487" t="str">
        <f t="shared" si="41"/>
        <v/>
      </c>
      <c r="CH658" s="459"/>
    </row>
    <row r="659" spans="1:90" s="461" customFormat="1" ht="12" customHeight="1" x14ac:dyDescent="0.15">
      <c r="A659" s="522" t="s">
        <v>4518</v>
      </c>
      <c r="B659" s="467">
        <v>42553</v>
      </c>
      <c r="C659" s="468" t="s">
        <v>4519</v>
      </c>
      <c r="D659" s="468" t="s">
        <v>4520</v>
      </c>
      <c r="E659" s="468" t="s">
        <v>3848</v>
      </c>
      <c r="F659" s="468" t="s">
        <v>3686</v>
      </c>
      <c r="G659" s="466">
        <v>16</v>
      </c>
      <c r="H659" s="465">
        <v>5</v>
      </c>
      <c r="I659" s="466"/>
      <c r="J659" s="466" t="s">
        <v>960</v>
      </c>
      <c r="K659" s="466">
        <v>14</v>
      </c>
      <c r="L659" s="506">
        <v>3</v>
      </c>
      <c r="M659" s="463">
        <v>5296</v>
      </c>
      <c r="N659" s="468" t="s">
        <v>3739</v>
      </c>
      <c r="O659" s="466">
        <v>5</v>
      </c>
      <c r="P659" s="523">
        <v>-2.25</v>
      </c>
      <c r="Q659" s="462">
        <v>7.7592592592592589E-4</v>
      </c>
      <c r="R659" s="463">
        <v>216</v>
      </c>
      <c r="S659" s="466" t="s">
        <v>625</v>
      </c>
      <c r="T659" s="524"/>
      <c r="W659" s="460"/>
      <c r="AY659" s="486">
        <f t="shared" si="40"/>
        <v>216</v>
      </c>
      <c r="AZ659" s="487" t="str">
        <f t="shared" si="41"/>
        <v/>
      </c>
      <c r="CH659" s="459"/>
    </row>
    <row r="660" spans="1:90" s="461" customFormat="1" ht="12" customHeight="1" x14ac:dyDescent="0.15">
      <c r="A660" s="522" t="s">
        <v>5136</v>
      </c>
      <c r="B660" s="467">
        <v>42553</v>
      </c>
      <c r="C660" s="468" t="s">
        <v>5138</v>
      </c>
      <c r="D660" s="468" t="s">
        <v>3942</v>
      </c>
      <c r="E660" s="468" t="s">
        <v>4299</v>
      </c>
      <c r="F660" s="468" t="s">
        <v>3686</v>
      </c>
      <c r="G660" s="466">
        <v>16</v>
      </c>
      <c r="H660" s="465">
        <v>5</v>
      </c>
      <c r="I660" s="466"/>
      <c r="J660" s="466" t="s">
        <v>960</v>
      </c>
      <c r="K660" s="466">
        <v>14</v>
      </c>
      <c r="L660" s="506">
        <f>9/2</f>
        <v>4.5</v>
      </c>
      <c r="M660" s="463">
        <v>5296</v>
      </c>
      <c r="N660" s="468" t="s">
        <v>3739</v>
      </c>
      <c r="O660" s="466">
        <v>2</v>
      </c>
      <c r="P660" s="523">
        <v>-0.25</v>
      </c>
      <c r="Q660" s="462">
        <v>7.7592592592592589E-4</v>
      </c>
      <c r="R660" s="463">
        <v>1133</v>
      </c>
      <c r="S660" s="466" t="s">
        <v>625</v>
      </c>
      <c r="T660" s="524"/>
      <c r="W660" s="460"/>
      <c r="AY660" s="486">
        <f t="shared" si="40"/>
        <v>1133</v>
      </c>
      <c r="AZ660" s="487" t="str">
        <f t="shared" si="41"/>
        <v/>
      </c>
      <c r="CH660" s="459"/>
    </row>
    <row r="661" spans="1:90" s="461" customFormat="1" ht="12" customHeight="1" x14ac:dyDescent="0.15">
      <c r="A661" s="522" t="s">
        <v>4062</v>
      </c>
      <c r="B661" s="467">
        <v>42553</v>
      </c>
      <c r="C661" s="468" t="s">
        <v>2744</v>
      </c>
      <c r="D661" s="468" t="s">
        <v>3298</v>
      </c>
      <c r="E661" s="468" t="s">
        <v>5149</v>
      </c>
      <c r="F661" s="468" t="s">
        <v>3686</v>
      </c>
      <c r="G661" s="466">
        <v>16</v>
      </c>
      <c r="H661" s="465">
        <v>5</v>
      </c>
      <c r="I661" s="466"/>
      <c r="J661" s="466" t="s">
        <v>960</v>
      </c>
      <c r="K661" s="466">
        <v>14</v>
      </c>
      <c r="L661" s="506">
        <v>4</v>
      </c>
      <c r="M661" s="463">
        <v>5296</v>
      </c>
      <c r="N661" s="468" t="s">
        <v>3739</v>
      </c>
      <c r="O661" s="466">
        <v>10</v>
      </c>
      <c r="P661" s="523">
        <v>-7</v>
      </c>
      <c r="Q661" s="462">
        <v>7.7592592592592589E-4</v>
      </c>
      <c r="R661" s="463">
        <v>99</v>
      </c>
      <c r="S661" s="466" t="s">
        <v>625</v>
      </c>
      <c r="T661" s="524"/>
      <c r="W661" s="460"/>
      <c r="AY661" s="486">
        <f t="shared" si="40"/>
        <v>99</v>
      </c>
      <c r="AZ661" s="487" t="str">
        <f t="shared" si="41"/>
        <v/>
      </c>
      <c r="CH661" s="459"/>
    </row>
    <row r="662" spans="1:90" s="469" customFormat="1" ht="12" customHeight="1" x14ac:dyDescent="0.15">
      <c r="A662" s="471" t="s">
        <v>4878</v>
      </c>
      <c r="B662" s="472">
        <v>42553</v>
      </c>
      <c r="C662" s="471" t="s">
        <v>4697</v>
      </c>
      <c r="D662" s="471" t="s">
        <v>4520</v>
      </c>
      <c r="E662" s="471" t="s">
        <v>1310</v>
      </c>
      <c r="F662" s="471" t="s">
        <v>3686</v>
      </c>
      <c r="G662" s="473">
        <v>16</v>
      </c>
      <c r="H662" s="474">
        <v>5</v>
      </c>
      <c r="I662" s="475"/>
      <c r="J662" s="475" t="s">
        <v>960</v>
      </c>
      <c r="K662" s="473">
        <v>14</v>
      </c>
      <c r="L662" s="458">
        <v>15</v>
      </c>
      <c r="M662" s="476">
        <v>5296</v>
      </c>
      <c r="N662" s="471" t="s">
        <v>3739</v>
      </c>
      <c r="O662" s="630" t="s">
        <v>431</v>
      </c>
      <c r="P662" s="631" t="s">
        <v>431</v>
      </c>
      <c r="Q662" s="632" t="s">
        <v>431</v>
      </c>
      <c r="R662" s="633" t="s">
        <v>431</v>
      </c>
      <c r="S662" s="477" t="s">
        <v>625</v>
      </c>
      <c r="T662" s="481" t="s">
        <v>5166</v>
      </c>
      <c r="U662" s="482"/>
      <c r="V662" s="482"/>
      <c r="W662" s="483"/>
      <c r="X662" s="482"/>
      <c r="Y662" s="482"/>
      <c r="Z662" s="482"/>
      <c r="AA662" s="482"/>
      <c r="AB662" s="482"/>
      <c r="AC662" s="482"/>
      <c r="AD662" s="482"/>
      <c r="AE662" s="482"/>
      <c r="AF662" s="482"/>
      <c r="AG662" s="482"/>
      <c r="AH662" s="482"/>
      <c r="AI662" s="482"/>
      <c r="AJ662" s="482"/>
      <c r="AK662" s="482"/>
      <c r="AL662" s="482"/>
      <c r="AM662" s="482"/>
      <c r="AN662" s="482"/>
      <c r="AO662" s="482"/>
      <c r="AP662" s="482"/>
      <c r="AQ662" s="482"/>
      <c r="AR662" s="482"/>
      <c r="AS662" s="482"/>
      <c r="AT662" s="482"/>
      <c r="AU662" s="482"/>
      <c r="AV662" s="482"/>
      <c r="AW662" s="482"/>
      <c r="AX662" s="482"/>
      <c r="AY662" s="486" t="str">
        <f t="shared" si="40"/>
        <v>--</v>
      </c>
      <c r="AZ662" s="487" t="str">
        <f t="shared" si="41"/>
        <v/>
      </c>
      <c r="BA662" s="482"/>
      <c r="BB662" s="482"/>
      <c r="BC662" s="482"/>
      <c r="BD662" s="482"/>
      <c r="BE662" s="482"/>
      <c r="BF662" s="482"/>
      <c r="BG662" s="482"/>
      <c r="BH662" s="482"/>
      <c r="BI662" s="482"/>
      <c r="BJ662" s="482"/>
      <c r="BK662" s="482"/>
      <c r="BL662" s="482"/>
      <c r="BM662" s="482"/>
      <c r="BN662" s="482"/>
      <c r="BO662" s="482"/>
      <c r="BP662" s="482"/>
      <c r="BQ662" s="482"/>
      <c r="BR662" s="482"/>
      <c r="BS662" s="482"/>
      <c r="BT662" s="482"/>
      <c r="BU662" s="482"/>
      <c r="BV662" s="482"/>
      <c r="BW662" s="482"/>
      <c r="BX662" s="482"/>
      <c r="BY662" s="482"/>
      <c r="BZ662" s="482"/>
      <c r="CA662" s="482"/>
      <c r="CB662" s="482"/>
      <c r="CC662" s="482"/>
      <c r="CD662" s="482"/>
      <c r="CE662" s="482"/>
      <c r="CF662" s="482"/>
      <c r="CG662" s="482"/>
      <c r="CH662" s="484"/>
    </row>
    <row r="663" spans="1:90" s="461" customFormat="1" ht="12" customHeight="1" x14ac:dyDescent="0.15">
      <c r="A663" s="522" t="s">
        <v>1943</v>
      </c>
      <c r="B663" s="467">
        <v>42553</v>
      </c>
      <c r="C663" s="468" t="s">
        <v>3736</v>
      </c>
      <c r="D663" s="468" t="s">
        <v>3737</v>
      </c>
      <c r="E663" s="468" t="s">
        <v>4543</v>
      </c>
      <c r="F663" s="468" t="s">
        <v>4516</v>
      </c>
      <c r="G663" s="466">
        <v>8</v>
      </c>
      <c r="H663" s="465">
        <v>8.5</v>
      </c>
      <c r="I663" s="466" t="s">
        <v>3730</v>
      </c>
      <c r="J663" s="466"/>
      <c r="K663" s="466">
        <v>12</v>
      </c>
      <c r="L663" s="506">
        <v>10</v>
      </c>
      <c r="M663" s="463">
        <v>100000</v>
      </c>
      <c r="N663" s="468" t="s">
        <v>5127</v>
      </c>
      <c r="O663" s="466">
        <v>8</v>
      </c>
      <c r="P663" s="523">
        <v>-6.25</v>
      </c>
      <c r="Q663" s="462">
        <v>1.1952546296296297E-3</v>
      </c>
      <c r="R663" s="463">
        <v>1000</v>
      </c>
      <c r="S663" s="466"/>
      <c r="T663" s="524"/>
      <c r="W663" s="460"/>
      <c r="AY663" s="486" t="str">
        <f t="shared" si="40"/>
        <v/>
      </c>
      <c r="AZ663" s="487" t="str">
        <f t="shared" si="41"/>
        <v/>
      </c>
      <c r="CH663" s="459"/>
    </row>
    <row r="664" spans="1:90" s="469" customFormat="1" ht="12" customHeight="1" x14ac:dyDescent="0.15">
      <c r="A664" s="471" t="s">
        <v>1534</v>
      </c>
      <c r="B664" s="472">
        <v>42554</v>
      </c>
      <c r="C664" s="471" t="s">
        <v>4825</v>
      </c>
      <c r="D664" s="471" t="s">
        <v>4934</v>
      </c>
      <c r="E664" s="471" t="s">
        <v>4819</v>
      </c>
      <c r="F664" s="471" t="s">
        <v>4171</v>
      </c>
      <c r="G664" s="473">
        <v>9</v>
      </c>
      <c r="H664" s="474">
        <v>8.3000000000000007</v>
      </c>
      <c r="I664" s="475"/>
      <c r="J664" s="475"/>
      <c r="K664" s="473">
        <v>11</v>
      </c>
      <c r="L664" s="458">
        <f>7/2</f>
        <v>3.5</v>
      </c>
      <c r="M664" s="476">
        <v>19000</v>
      </c>
      <c r="N664" s="471" t="s">
        <v>197</v>
      </c>
      <c r="O664" s="630" t="s">
        <v>431</v>
      </c>
      <c r="P664" s="631" t="s">
        <v>431</v>
      </c>
      <c r="Q664" s="632" t="s">
        <v>431</v>
      </c>
      <c r="R664" s="633" t="s">
        <v>431</v>
      </c>
      <c r="S664" s="477"/>
      <c r="T664" s="481" t="s">
        <v>5168</v>
      </c>
      <c r="U664" s="482"/>
      <c r="V664" s="482"/>
      <c r="W664" s="483"/>
      <c r="X664" s="482"/>
      <c r="Y664" s="482"/>
      <c r="Z664" s="482"/>
      <c r="AA664" s="482"/>
      <c r="AB664" s="482"/>
      <c r="AC664" s="482"/>
      <c r="AD664" s="482"/>
      <c r="AE664" s="482"/>
      <c r="AF664" s="482"/>
      <c r="AG664" s="482"/>
      <c r="AH664" s="482"/>
      <c r="AI664" s="482"/>
      <c r="AJ664" s="482"/>
      <c r="AK664" s="482"/>
      <c r="AL664" s="482"/>
      <c r="AM664" s="482"/>
      <c r="AN664" s="482"/>
      <c r="AO664" s="482"/>
      <c r="AP664" s="482"/>
      <c r="AQ664" s="482"/>
      <c r="AR664" s="482"/>
      <c r="AS664" s="482"/>
      <c r="AT664" s="482"/>
      <c r="AU664" s="482"/>
      <c r="AV664" s="482"/>
      <c r="AW664" s="482"/>
      <c r="AX664" s="482"/>
      <c r="AY664" s="486" t="str">
        <f t="shared" si="40"/>
        <v/>
      </c>
      <c r="AZ664" s="487" t="str">
        <f t="shared" si="41"/>
        <v/>
      </c>
      <c r="BA664" s="482"/>
      <c r="BB664" s="482"/>
      <c r="BC664" s="482"/>
      <c r="BD664" s="482"/>
      <c r="BE664" s="482"/>
      <c r="BF664" s="482"/>
      <c r="BG664" s="482"/>
      <c r="BH664" s="482"/>
      <c r="BI664" s="482"/>
      <c r="BJ664" s="482"/>
      <c r="BK664" s="482"/>
      <c r="BL664" s="482"/>
      <c r="BM664" s="482"/>
      <c r="BN664" s="482"/>
      <c r="BO664" s="482"/>
      <c r="BP664" s="482"/>
      <c r="BQ664" s="482"/>
      <c r="BR664" s="482"/>
      <c r="BS664" s="482"/>
      <c r="BT664" s="482"/>
      <c r="BU664" s="482"/>
      <c r="BV664" s="482"/>
      <c r="BW664" s="482"/>
      <c r="BX664" s="482"/>
      <c r="BY664" s="482"/>
      <c r="BZ664" s="482"/>
      <c r="CA664" s="482"/>
      <c r="CB664" s="482"/>
      <c r="CC664" s="482"/>
      <c r="CD664" s="482"/>
      <c r="CE664" s="482"/>
      <c r="CF664" s="482"/>
      <c r="CG664" s="482"/>
      <c r="CH664" s="484"/>
    </row>
    <row r="665" spans="1:90" s="461" customFormat="1" ht="12" customHeight="1" x14ac:dyDescent="0.15">
      <c r="A665" s="522" t="s">
        <v>5132</v>
      </c>
      <c r="B665" s="467">
        <v>42554</v>
      </c>
      <c r="C665" s="468" t="s">
        <v>5133</v>
      </c>
      <c r="D665" s="468" t="s">
        <v>5104</v>
      </c>
      <c r="E665" s="468" t="s">
        <v>5148</v>
      </c>
      <c r="F665" s="468" t="s">
        <v>3685</v>
      </c>
      <c r="G665" s="466">
        <v>4</v>
      </c>
      <c r="H665" s="465">
        <v>5.5</v>
      </c>
      <c r="I665" s="466"/>
      <c r="J665" s="466" t="s">
        <v>4366</v>
      </c>
      <c r="K665" s="466">
        <v>9</v>
      </c>
      <c r="L665" s="506">
        <v>5</v>
      </c>
      <c r="M665" s="463">
        <v>4116</v>
      </c>
      <c r="N665" s="468" t="s">
        <v>3348</v>
      </c>
      <c r="O665" s="466">
        <v>7</v>
      </c>
      <c r="P665" s="523">
        <v>-9.75</v>
      </c>
      <c r="Q665" s="462">
        <v>7.9120370370370369E-4</v>
      </c>
      <c r="R665" s="463">
        <v>65</v>
      </c>
      <c r="S665" s="466" t="s">
        <v>625</v>
      </c>
      <c r="T665" s="524"/>
      <c r="W665" s="460"/>
      <c r="AY665" s="486">
        <f t="shared" si="40"/>
        <v>65</v>
      </c>
      <c r="AZ665" s="487" t="str">
        <f t="shared" si="41"/>
        <v/>
      </c>
      <c r="CH665" s="459"/>
    </row>
    <row r="666" spans="1:90" s="469" customFormat="1" ht="12" customHeight="1" x14ac:dyDescent="0.15">
      <c r="A666" s="444" t="s">
        <v>33</v>
      </c>
      <c r="B666" s="445">
        <v>42554</v>
      </c>
      <c r="C666" s="446" t="s">
        <v>3715</v>
      </c>
      <c r="D666" s="446" t="s">
        <v>3716</v>
      </c>
      <c r="E666" s="446" t="s">
        <v>5155</v>
      </c>
      <c r="F666" s="446" t="s">
        <v>2332</v>
      </c>
      <c r="G666" s="447">
        <v>1</v>
      </c>
      <c r="H666" s="448">
        <v>8</v>
      </c>
      <c r="I666" s="447"/>
      <c r="J666" s="447" t="s">
        <v>960</v>
      </c>
      <c r="K666" s="447">
        <v>7</v>
      </c>
      <c r="L666" s="449">
        <v>4</v>
      </c>
      <c r="M666" s="450">
        <v>7000</v>
      </c>
      <c r="N666" s="446" t="s">
        <v>197</v>
      </c>
      <c r="O666" s="447">
        <v>1</v>
      </c>
      <c r="P666" s="451">
        <v>0.5</v>
      </c>
      <c r="Q666" s="452">
        <v>1.1642361111111111E-3</v>
      </c>
      <c r="R666" s="450">
        <v>4200</v>
      </c>
      <c r="S666" s="447"/>
      <c r="T666" s="453"/>
      <c r="U666" s="454"/>
      <c r="V666" s="454"/>
      <c r="W666" s="455"/>
      <c r="X666" s="454"/>
      <c r="Y666" s="454"/>
      <c r="Z666" s="454"/>
      <c r="AA666" s="454"/>
      <c r="AB666" s="454"/>
      <c r="AC666" s="454"/>
      <c r="AD666" s="454"/>
      <c r="AE666" s="454"/>
      <c r="AF666" s="454"/>
      <c r="AG666" s="454"/>
      <c r="AH666" s="454"/>
      <c r="AI666" s="454"/>
      <c r="AJ666" s="454"/>
      <c r="AK666" s="454"/>
      <c r="AL666" s="454"/>
      <c r="AM666" s="454"/>
      <c r="AN666" s="454"/>
      <c r="AO666" s="454"/>
      <c r="AP666" s="454"/>
      <c r="AQ666" s="454"/>
      <c r="AR666" s="454"/>
      <c r="AS666" s="454"/>
      <c r="AT666" s="454"/>
      <c r="AU666" s="454"/>
      <c r="AV666" s="454"/>
      <c r="AW666" s="454"/>
      <c r="AX666" s="454"/>
      <c r="AY666" s="486" t="str">
        <f t="shared" si="40"/>
        <v/>
      </c>
      <c r="AZ666" s="487">
        <f t="shared" si="41"/>
        <v>1</v>
      </c>
      <c r="BA666" s="454"/>
      <c r="BB666" s="454"/>
      <c r="BC666" s="454"/>
      <c r="BD666" s="454"/>
      <c r="BE666" s="454"/>
      <c r="BF666" s="454"/>
      <c r="BG666" s="454"/>
      <c r="BH666" s="454"/>
      <c r="BI666" s="454"/>
      <c r="BJ666" s="454"/>
      <c r="BK666" s="454"/>
      <c r="BL666" s="454"/>
      <c r="BM666" s="454"/>
      <c r="BN666" s="454"/>
      <c r="BO666" s="454"/>
      <c r="BP666" s="454"/>
      <c r="BQ666" s="454"/>
      <c r="BR666" s="454"/>
      <c r="BS666" s="454"/>
      <c r="BT666" s="454"/>
      <c r="BU666" s="454"/>
      <c r="BV666" s="454"/>
      <c r="BW666" s="454"/>
      <c r="BX666" s="454"/>
      <c r="BY666" s="454"/>
      <c r="BZ666" s="454"/>
      <c r="CA666" s="454"/>
      <c r="CB666" s="454"/>
      <c r="CC666" s="454"/>
      <c r="CD666" s="454"/>
      <c r="CE666" s="454"/>
      <c r="CF666" s="454"/>
      <c r="CG666" s="454"/>
      <c r="CH666" s="456"/>
      <c r="CI666" s="454"/>
      <c r="CJ666" s="454"/>
      <c r="CK666" s="454"/>
      <c r="CL666" s="454"/>
    </row>
    <row r="667" spans="1:90" s="469" customFormat="1" ht="12" customHeight="1" x14ac:dyDescent="0.15">
      <c r="A667" s="471" t="s">
        <v>5173</v>
      </c>
      <c r="B667" s="472">
        <v>42554</v>
      </c>
      <c r="C667" s="471" t="s">
        <v>4064</v>
      </c>
      <c r="D667" s="471" t="s">
        <v>3832</v>
      </c>
      <c r="E667" s="471" t="s">
        <v>4977</v>
      </c>
      <c r="F667" s="471" t="s">
        <v>3685</v>
      </c>
      <c r="G667" s="473">
        <v>5</v>
      </c>
      <c r="H667" s="474">
        <v>9</v>
      </c>
      <c r="I667" s="475"/>
      <c r="J667" s="475" t="s">
        <v>4366</v>
      </c>
      <c r="K667" s="473">
        <v>10</v>
      </c>
      <c r="L667" s="458">
        <f>7/2</f>
        <v>3.5</v>
      </c>
      <c r="M667" s="476">
        <v>8383</v>
      </c>
      <c r="N667" s="471" t="s">
        <v>5134</v>
      </c>
      <c r="O667" s="477" t="s">
        <v>431</v>
      </c>
      <c r="P667" s="478" t="s">
        <v>431</v>
      </c>
      <c r="Q667" s="479" t="s">
        <v>431</v>
      </c>
      <c r="R667" s="480" t="s">
        <v>431</v>
      </c>
      <c r="S667" s="477" t="s">
        <v>625</v>
      </c>
      <c r="T667" s="481" t="s">
        <v>5171</v>
      </c>
      <c r="U667" s="482"/>
      <c r="V667" s="482"/>
      <c r="W667" s="483"/>
      <c r="X667" s="482"/>
      <c r="Y667" s="482"/>
      <c r="Z667" s="482"/>
      <c r="AA667" s="482"/>
      <c r="AB667" s="482"/>
      <c r="AC667" s="482"/>
      <c r="AD667" s="482"/>
      <c r="AE667" s="482"/>
      <c r="AF667" s="482"/>
      <c r="AG667" s="482"/>
      <c r="AH667" s="482"/>
      <c r="AI667" s="482"/>
      <c r="AJ667" s="482"/>
      <c r="AK667" s="482"/>
      <c r="AL667" s="482"/>
      <c r="AM667" s="482"/>
      <c r="AN667" s="482"/>
      <c r="AO667" s="482"/>
      <c r="AP667" s="482"/>
      <c r="AQ667" s="482"/>
      <c r="AR667" s="482"/>
      <c r="AS667" s="482"/>
      <c r="AT667" s="482"/>
      <c r="AU667" s="482"/>
      <c r="AV667" s="482"/>
      <c r="AW667" s="482"/>
      <c r="AX667" s="482"/>
      <c r="AY667" s="486" t="str">
        <f t="shared" si="40"/>
        <v>--</v>
      </c>
      <c r="AZ667" s="487" t="str">
        <f t="shared" si="41"/>
        <v/>
      </c>
      <c r="BA667" s="482"/>
      <c r="BB667" s="482"/>
      <c r="BC667" s="482"/>
      <c r="BD667" s="482"/>
      <c r="BE667" s="482"/>
      <c r="BF667" s="482"/>
      <c r="BG667" s="482"/>
      <c r="BH667" s="482"/>
      <c r="BI667" s="482"/>
      <c r="BJ667" s="482"/>
      <c r="BK667" s="482"/>
      <c r="BL667" s="482"/>
      <c r="BM667" s="482"/>
      <c r="BN667" s="482"/>
      <c r="BO667" s="482"/>
      <c r="BP667" s="482"/>
      <c r="BQ667" s="482"/>
      <c r="BR667" s="482"/>
      <c r="BS667" s="482"/>
      <c r="BT667" s="482"/>
      <c r="BU667" s="482"/>
      <c r="BV667" s="482"/>
      <c r="BW667" s="482"/>
      <c r="BX667" s="482"/>
      <c r="BY667" s="482"/>
      <c r="BZ667" s="482"/>
      <c r="CA667" s="482"/>
      <c r="CB667" s="482"/>
      <c r="CC667" s="482"/>
      <c r="CD667" s="482"/>
      <c r="CE667" s="482"/>
      <c r="CF667" s="482"/>
      <c r="CG667" s="482"/>
      <c r="CH667" s="484"/>
    </row>
    <row r="668" spans="1:90" s="469" customFormat="1" ht="12" customHeight="1" x14ac:dyDescent="0.15">
      <c r="A668" s="471" t="s">
        <v>4424</v>
      </c>
      <c r="B668" s="472">
        <v>42554</v>
      </c>
      <c r="C668" s="471" t="s">
        <v>3841</v>
      </c>
      <c r="D668" s="471" t="s">
        <v>3837</v>
      </c>
      <c r="E668" s="471" t="s">
        <v>4475</v>
      </c>
      <c r="F668" s="471" t="s">
        <v>3836</v>
      </c>
      <c r="G668" s="473">
        <v>7</v>
      </c>
      <c r="H668" s="474">
        <v>6.5</v>
      </c>
      <c r="I668" s="475"/>
      <c r="J668" s="475"/>
      <c r="K668" s="473">
        <v>14</v>
      </c>
      <c r="L668" s="458" t="s">
        <v>431</v>
      </c>
      <c r="M668" s="476">
        <v>2461</v>
      </c>
      <c r="N668" s="471" t="s">
        <v>5129</v>
      </c>
      <c r="O668" s="477" t="s">
        <v>431</v>
      </c>
      <c r="P668" s="478" t="s">
        <v>431</v>
      </c>
      <c r="Q668" s="479" t="s">
        <v>431</v>
      </c>
      <c r="R668" s="480" t="s">
        <v>431</v>
      </c>
      <c r="S668" s="477" t="s">
        <v>625</v>
      </c>
      <c r="T668" s="481" t="s">
        <v>3885</v>
      </c>
      <c r="U668" s="482"/>
      <c r="V668" s="482"/>
      <c r="W668" s="483"/>
      <c r="X668" s="482"/>
      <c r="Y668" s="482"/>
      <c r="Z668" s="482"/>
      <c r="AA668" s="482"/>
      <c r="AB668" s="482"/>
      <c r="AC668" s="482"/>
      <c r="AD668" s="482"/>
      <c r="AE668" s="482"/>
      <c r="AF668" s="482"/>
      <c r="AG668" s="482"/>
      <c r="AH668" s="482"/>
      <c r="AI668" s="482"/>
      <c r="AJ668" s="482"/>
      <c r="AK668" s="482"/>
      <c r="AL668" s="482"/>
      <c r="AM668" s="482"/>
      <c r="AN668" s="482"/>
      <c r="AO668" s="482"/>
      <c r="AP668" s="482"/>
      <c r="AQ668" s="482"/>
      <c r="AR668" s="482"/>
      <c r="AS668" s="482"/>
      <c r="AT668" s="482"/>
      <c r="AU668" s="482"/>
      <c r="AV668" s="482"/>
      <c r="AW668" s="482"/>
      <c r="AX668" s="482"/>
      <c r="AY668" s="486" t="str">
        <f t="shared" si="40"/>
        <v>--</v>
      </c>
      <c r="AZ668" s="487" t="str">
        <f t="shared" si="41"/>
        <v/>
      </c>
      <c r="BA668" s="482"/>
      <c r="BB668" s="482"/>
      <c r="BC668" s="482"/>
      <c r="BD668" s="482"/>
      <c r="BE668" s="482"/>
      <c r="BF668" s="482"/>
      <c r="BG668" s="482"/>
      <c r="BH668" s="482"/>
      <c r="BI668" s="482"/>
      <c r="BJ668" s="482"/>
      <c r="BK668" s="482"/>
      <c r="BL668" s="482"/>
      <c r="BM668" s="482"/>
      <c r="BN668" s="482"/>
      <c r="BO668" s="482"/>
      <c r="BP668" s="482"/>
      <c r="BQ668" s="482"/>
      <c r="BR668" s="482"/>
      <c r="BS668" s="482"/>
      <c r="BT668" s="482"/>
      <c r="BU668" s="482"/>
      <c r="BV668" s="482"/>
      <c r="BW668" s="482"/>
      <c r="BX668" s="482"/>
      <c r="BY668" s="482"/>
      <c r="BZ668" s="482"/>
      <c r="CA668" s="482"/>
      <c r="CB668" s="482"/>
      <c r="CC668" s="482"/>
      <c r="CD668" s="482"/>
      <c r="CE668" s="482"/>
      <c r="CF668" s="482"/>
      <c r="CG668" s="482"/>
      <c r="CH668" s="484"/>
    </row>
    <row r="669" spans="1:90" s="469" customFormat="1" ht="12" customHeight="1" x14ac:dyDescent="0.15">
      <c r="A669" s="471" t="s">
        <v>4045</v>
      </c>
      <c r="B669" s="472">
        <v>42554</v>
      </c>
      <c r="C669" s="471" t="s">
        <v>3311</v>
      </c>
      <c r="D669" s="471" t="s">
        <v>3833</v>
      </c>
      <c r="E669" s="471" t="s">
        <v>3684</v>
      </c>
      <c r="F669" s="471" t="s">
        <v>3685</v>
      </c>
      <c r="G669" s="473">
        <v>7</v>
      </c>
      <c r="H669" s="474">
        <v>5.5</v>
      </c>
      <c r="I669" s="475"/>
      <c r="J669" s="475"/>
      <c r="K669" s="473">
        <v>7</v>
      </c>
      <c r="L669" s="458">
        <v>8</v>
      </c>
      <c r="M669" s="476">
        <v>2688</v>
      </c>
      <c r="N669" s="471" t="s">
        <v>5129</v>
      </c>
      <c r="O669" s="477" t="s">
        <v>431</v>
      </c>
      <c r="P669" s="478" t="s">
        <v>431</v>
      </c>
      <c r="Q669" s="479" t="s">
        <v>431</v>
      </c>
      <c r="R669" s="480" t="s">
        <v>431</v>
      </c>
      <c r="S669" s="477" t="s">
        <v>625</v>
      </c>
      <c r="T669" s="481" t="s">
        <v>3885</v>
      </c>
      <c r="U669" s="482"/>
      <c r="V669" s="482"/>
      <c r="W669" s="483"/>
      <c r="X669" s="482"/>
      <c r="Y669" s="482"/>
      <c r="Z669" s="482"/>
      <c r="AA669" s="482"/>
      <c r="AB669" s="482"/>
      <c r="AC669" s="482"/>
      <c r="AD669" s="482"/>
      <c r="AE669" s="482"/>
      <c r="AF669" s="482"/>
      <c r="AG669" s="482"/>
      <c r="AH669" s="482"/>
      <c r="AI669" s="482"/>
      <c r="AJ669" s="482"/>
      <c r="AK669" s="482"/>
      <c r="AL669" s="482"/>
      <c r="AM669" s="482"/>
      <c r="AN669" s="482"/>
      <c r="AO669" s="482"/>
      <c r="AP669" s="482"/>
      <c r="AQ669" s="482"/>
      <c r="AR669" s="482"/>
      <c r="AS669" s="482"/>
      <c r="AT669" s="482"/>
      <c r="AU669" s="482"/>
      <c r="AV669" s="482"/>
      <c r="AW669" s="482"/>
      <c r="AX669" s="482"/>
      <c r="AY669" s="486" t="str">
        <f t="shared" si="40"/>
        <v>--</v>
      </c>
      <c r="AZ669" s="487" t="str">
        <f t="shared" si="41"/>
        <v/>
      </c>
      <c r="BA669" s="482"/>
      <c r="BB669" s="482"/>
      <c r="BC669" s="482"/>
      <c r="BD669" s="482"/>
      <c r="BE669" s="482"/>
      <c r="BF669" s="482"/>
      <c r="BG669" s="482"/>
      <c r="BH669" s="482"/>
      <c r="BI669" s="482"/>
      <c r="BJ669" s="482"/>
      <c r="BK669" s="482"/>
      <c r="BL669" s="482"/>
      <c r="BM669" s="482"/>
      <c r="BN669" s="482"/>
      <c r="BO669" s="482"/>
      <c r="BP669" s="482"/>
      <c r="BQ669" s="482"/>
      <c r="BR669" s="482"/>
      <c r="BS669" s="482"/>
      <c r="BT669" s="482"/>
      <c r="BU669" s="482"/>
      <c r="BV669" s="482"/>
      <c r="BW669" s="482"/>
      <c r="BX669" s="482"/>
      <c r="BY669" s="482"/>
      <c r="BZ669" s="482"/>
      <c r="CA669" s="482"/>
      <c r="CB669" s="482"/>
      <c r="CC669" s="482"/>
      <c r="CD669" s="482"/>
      <c r="CE669" s="482"/>
      <c r="CF669" s="482"/>
      <c r="CG669" s="482"/>
      <c r="CH669" s="484"/>
    </row>
    <row r="670" spans="1:90" s="461" customFormat="1" ht="12" customHeight="1" x14ac:dyDescent="0.15">
      <c r="A670" s="522" t="s">
        <v>3455</v>
      </c>
      <c r="B670" s="467">
        <v>42554</v>
      </c>
      <c r="C670" s="468" t="s">
        <v>4525</v>
      </c>
      <c r="D670" s="468" t="s">
        <v>3485</v>
      </c>
      <c r="E670" s="468" t="s">
        <v>4536</v>
      </c>
      <c r="F670" s="468" t="s">
        <v>3685</v>
      </c>
      <c r="G670" s="466">
        <v>7</v>
      </c>
      <c r="H670" s="465">
        <v>5.5</v>
      </c>
      <c r="I670" s="466"/>
      <c r="J670" s="466" t="s">
        <v>4366</v>
      </c>
      <c r="K670" s="466">
        <v>7</v>
      </c>
      <c r="L670" s="506">
        <v>3</v>
      </c>
      <c r="M670" s="463">
        <v>2688</v>
      </c>
      <c r="N670" s="468" t="s">
        <v>5129</v>
      </c>
      <c r="O670" s="466">
        <v>2</v>
      </c>
      <c r="P670" s="523">
        <v>-0.5</v>
      </c>
      <c r="Q670" s="462">
        <v>7.8969907407407407E-4</v>
      </c>
      <c r="R670" s="463">
        <v>572</v>
      </c>
      <c r="S670" s="466" t="s">
        <v>625</v>
      </c>
      <c r="T670" s="524"/>
      <c r="W670" s="460"/>
      <c r="AY670" s="486">
        <f t="shared" si="40"/>
        <v>572</v>
      </c>
      <c r="AZ670" s="487" t="str">
        <f t="shared" si="41"/>
        <v/>
      </c>
      <c r="CH670" s="459"/>
    </row>
    <row r="671" spans="1:90" s="461" customFormat="1" ht="12" customHeight="1" x14ac:dyDescent="0.15">
      <c r="A671" s="522" t="s">
        <v>1381</v>
      </c>
      <c r="B671" s="467">
        <v>42554</v>
      </c>
      <c r="C671" s="468" t="s">
        <v>4512</v>
      </c>
      <c r="D671" s="468" t="s">
        <v>4511</v>
      </c>
      <c r="E671" s="468" t="s">
        <v>5085</v>
      </c>
      <c r="F671" s="468" t="s">
        <v>4828</v>
      </c>
      <c r="G671" s="466">
        <v>4</v>
      </c>
      <c r="H671" s="465">
        <v>6.5</v>
      </c>
      <c r="I671" s="466" t="s">
        <v>1360</v>
      </c>
      <c r="J671" s="466"/>
      <c r="K671" s="466">
        <v>12</v>
      </c>
      <c r="L671" s="506">
        <v>6</v>
      </c>
      <c r="M671" s="463">
        <v>10000</v>
      </c>
      <c r="N671" s="468" t="s">
        <v>197</v>
      </c>
      <c r="O671" s="466">
        <v>5</v>
      </c>
      <c r="P671" s="523">
        <v>-1.5</v>
      </c>
      <c r="Q671" s="462">
        <v>9.0520833333333339E-4</v>
      </c>
      <c r="R671" s="463">
        <v>250</v>
      </c>
      <c r="S671" s="466"/>
      <c r="T671" s="524"/>
      <c r="W671" s="460"/>
      <c r="AY671" s="486" t="str">
        <f t="shared" si="40"/>
        <v/>
      </c>
      <c r="AZ671" s="487" t="str">
        <f t="shared" si="41"/>
        <v/>
      </c>
      <c r="CH671" s="459"/>
    </row>
    <row r="672" spans="1:90" s="469" customFormat="1" ht="12" customHeight="1" x14ac:dyDescent="0.15">
      <c r="A672" s="444" t="s">
        <v>2178</v>
      </c>
      <c r="B672" s="445">
        <v>42554</v>
      </c>
      <c r="C672" s="446" t="s">
        <v>5146</v>
      </c>
      <c r="D672" s="446" t="s">
        <v>5279</v>
      </c>
      <c r="E672" s="446" t="s">
        <v>5046</v>
      </c>
      <c r="F672" s="446" t="s">
        <v>4828</v>
      </c>
      <c r="G672" s="447">
        <v>5</v>
      </c>
      <c r="H672" s="448">
        <v>6.5</v>
      </c>
      <c r="I672" s="447" t="s">
        <v>1360</v>
      </c>
      <c r="J672" s="447"/>
      <c r="K672" s="447">
        <v>11</v>
      </c>
      <c r="L672" s="449">
        <v>20</v>
      </c>
      <c r="M672" s="450">
        <v>11000</v>
      </c>
      <c r="N672" s="446" t="s">
        <v>4924</v>
      </c>
      <c r="O672" s="447">
        <v>1</v>
      </c>
      <c r="P672" s="451">
        <v>1</v>
      </c>
      <c r="Q672" s="452">
        <v>9.0659722222222216E-4</v>
      </c>
      <c r="R672" s="450">
        <v>8580</v>
      </c>
      <c r="S672" s="447"/>
      <c r="T672" s="453" t="s">
        <v>5174</v>
      </c>
      <c r="U672" s="454"/>
      <c r="V672" s="454"/>
      <c r="W672" s="455"/>
      <c r="X672" s="454"/>
      <c r="Y672" s="454"/>
      <c r="Z672" s="454"/>
      <c r="AA672" s="454"/>
      <c r="AB672" s="454"/>
      <c r="AC672" s="454"/>
      <c r="AD672" s="454"/>
      <c r="AE672" s="454"/>
      <c r="AF672" s="454"/>
      <c r="AG672" s="454"/>
      <c r="AH672" s="454"/>
      <c r="AI672" s="454"/>
      <c r="AJ672" s="454"/>
      <c r="AK672" s="454"/>
      <c r="AL672" s="454"/>
      <c r="AM672" s="454"/>
      <c r="AN672" s="454"/>
      <c r="AO672" s="454"/>
      <c r="AP672" s="454"/>
      <c r="AQ672" s="454"/>
      <c r="AR672" s="454"/>
      <c r="AS672" s="454"/>
      <c r="AT672" s="454"/>
      <c r="AU672" s="454"/>
      <c r="AV672" s="454"/>
      <c r="AW672" s="454"/>
      <c r="AX672" s="454"/>
      <c r="AY672" s="486" t="str">
        <f t="shared" si="40"/>
        <v/>
      </c>
      <c r="AZ672" s="487">
        <f t="shared" si="41"/>
        <v>1</v>
      </c>
      <c r="BA672" s="454"/>
      <c r="BB672" s="454"/>
      <c r="BC672" s="454"/>
      <c r="BD672" s="454"/>
      <c r="BE672" s="454"/>
      <c r="BF672" s="454"/>
      <c r="BG672" s="454"/>
      <c r="BH672" s="454"/>
      <c r="BI672" s="454"/>
      <c r="BJ672" s="454"/>
      <c r="BK672" s="454"/>
      <c r="BL672" s="454"/>
      <c r="BM672" s="454"/>
      <c r="BN672" s="454"/>
      <c r="BO672" s="454"/>
      <c r="BP672" s="454"/>
      <c r="BQ672" s="454"/>
      <c r="BR672" s="454"/>
      <c r="BS672" s="454"/>
      <c r="BT672" s="454"/>
      <c r="BU672" s="454"/>
      <c r="BV672" s="454"/>
      <c r="BW672" s="454"/>
      <c r="BX672" s="454"/>
      <c r="BY672" s="454"/>
      <c r="BZ672" s="454"/>
      <c r="CA672" s="454"/>
      <c r="CB672" s="454"/>
      <c r="CC672" s="454"/>
      <c r="CD672" s="454"/>
      <c r="CE672" s="454"/>
      <c r="CF672" s="454"/>
      <c r="CG672" s="454"/>
      <c r="CH672" s="456"/>
      <c r="CI672" s="454"/>
      <c r="CJ672" s="454"/>
      <c r="CK672" s="454"/>
      <c r="CL672" s="454"/>
    </row>
    <row r="673" spans="1:90" s="469" customFormat="1" ht="12" customHeight="1" x14ac:dyDescent="0.15">
      <c r="A673" s="471" t="s">
        <v>1666</v>
      </c>
      <c r="B673" s="472">
        <v>42555</v>
      </c>
      <c r="C673" s="471" t="s">
        <v>4846</v>
      </c>
      <c r="D673" s="471" t="s">
        <v>4826</v>
      </c>
      <c r="E673" s="471" t="s">
        <v>3188</v>
      </c>
      <c r="F673" s="471" t="s">
        <v>1164</v>
      </c>
      <c r="G673" s="473" t="s">
        <v>431</v>
      </c>
      <c r="H673" s="474">
        <v>6</v>
      </c>
      <c r="I673" s="475"/>
      <c r="J673" s="475"/>
      <c r="K673" s="473" t="s">
        <v>431</v>
      </c>
      <c r="L673" s="485" t="s">
        <v>431</v>
      </c>
      <c r="M673" s="476">
        <v>26800</v>
      </c>
      <c r="N673" s="471" t="s">
        <v>5131</v>
      </c>
      <c r="O673" s="477" t="s">
        <v>431</v>
      </c>
      <c r="P673" s="478" t="s">
        <v>431</v>
      </c>
      <c r="Q673" s="479" t="s">
        <v>431</v>
      </c>
      <c r="R673" s="480" t="s">
        <v>431</v>
      </c>
      <c r="S673" s="477"/>
      <c r="T673" s="481" t="s">
        <v>5150</v>
      </c>
      <c r="U673" s="482"/>
      <c r="V673" s="482"/>
      <c r="W673" s="483"/>
      <c r="X673" s="482"/>
      <c r="Y673" s="482"/>
      <c r="Z673" s="482"/>
      <c r="AA673" s="482"/>
      <c r="AB673" s="482"/>
      <c r="AC673" s="482"/>
      <c r="AD673" s="482"/>
      <c r="AE673" s="482"/>
      <c r="AF673" s="482"/>
      <c r="AG673" s="482"/>
      <c r="AH673" s="482"/>
      <c r="AI673" s="482"/>
      <c r="AJ673" s="482"/>
      <c r="AK673" s="482"/>
      <c r="AL673" s="482"/>
      <c r="AM673" s="482"/>
      <c r="AN673" s="482"/>
      <c r="AO673" s="482"/>
      <c r="AP673" s="482"/>
      <c r="AQ673" s="482"/>
      <c r="AR673" s="482"/>
      <c r="AS673" s="482"/>
      <c r="AT673" s="482"/>
      <c r="AU673" s="482"/>
      <c r="AV673" s="482"/>
      <c r="AW673" s="482"/>
      <c r="AX673" s="482"/>
      <c r="AY673" s="486" t="str">
        <f t="shared" si="40"/>
        <v/>
      </c>
      <c r="AZ673" s="487" t="str">
        <f t="shared" si="41"/>
        <v/>
      </c>
      <c r="BA673" s="482"/>
      <c r="BB673" s="482"/>
      <c r="BC673" s="482"/>
      <c r="BD673" s="482"/>
      <c r="BE673" s="482"/>
      <c r="BF673" s="482"/>
      <c r="BG673" s="482"/>
      <c r="BH673" s="482"/>
      <c r="BI673" s="482"/>
      <c r="BJ673" s="482"/>
      <c r="BK673" s="482"/>
      <c r="BL673" s="482"/>
      <c r="BM673" s="482"/>
      <c r="BN673" s="482"/>
      <c r="BO673" s="482"/>
      <c r="BP673" s="482"/>
      <c r="BQ673" s="482"/>
      <c r="BR673" s="482"/>
      <c r="BS673" s="482"/>
      <c r="BT673" s="482"/>
      <c r="BU673" s="482"/>
      <c r="BV673" s="482"/>
      <c r="BW673" s="482"/>
      <c r="BX673" s="482"/>
      <c r="BY673" s="482"/>
      <c r="BZ673" s="482"/>
      <c r="CA673" s="482"/>
      <c r="CB673" s="482"/>
      <c r="CC673" s="482"/>
      <c r="CD673" s="482"/>
      <c r="CE673" s="482"/>
      <c r="CF673" s="482"/>
      <c r="CG673" s="482"/>
      <c r="CH673" s="484"/>
    </row>
    <row r="674" spans="1:90" s="469" customFormat="1" ht="12" customHeight="1" x14ac:dyDescent="0.15">
      <c r="A674" s="444" t="s">
        <v>2227</v>
      </c>
      <c r="B674" s="445">
        <v>42555</v>
      </c>
      <c r="C674" s="446" t="s">
        <v>3756</v>
      </c>
      <c r="D674" s="446" t="s">
        <v>3757</v>
      </c>
      <c r="E674" s="446" t="s">
        <v>4349</v>
      </c>
      <c r="F674" s="446" t="s">
        <v>4171</v>
      </c>
      <c r="G674" s="447">
        <v>7</v>
      </c>
      <c r="H674" s="448">
        <v>7</v>
      </c>
      <c r="I674" s="447"/>
      <c r="J674" s="447"/>
      <c r="K674" s="447">
        <v>8</v>
      </c>
      <c r="L674" s="449">
        <v>10</v>
      </c>
      <c r="M674" s="450">
        <v>51000</v>
      </c>
      <c r="N674" s="446" t="s">
        <v>4296</v>
      </c>
      <c r="O674" s="447">
        <v>1</v>
      </c>
      <c r="P674" s="451">
        <v>4</v>
      </c>
      <c r="Q674" s="452">
        <v>9.8229166666666669E-4</v>
      </c>
      <c r="R674" s="450">
        <v>42840</v>
      </c>
      <c r="S674" s="447"/>
      <c r="T674" s="453"/>
      <c r="U674" s="454"/>
      <c r="V674" s="454"/>
      <c r="W674" s="455"/>
      <c r="X674" s="454"/>
      <c r="Y674" s="454"/>
      <c r="Z674" s="454"/>
      <c r="AA674" s="454"/>
      <c r="AB674" s="454"/>
      <c r="AC674" s="454"/>
      <c r="AD674" s="454"/>
      <c r="AE674" s="454"/>
      <c r="AF674" s="454"/>
      <c r="AG674" s="454"/>
      <c r="AH674" s="454"/>
      <c r="AI674" s="454"/>
      <c r="AJ674" s="454"/>
      <c r="AK674" s="454"/>
      <c r="AL674" s="454"/>
      <c r="AM674" s="454"/>
      <c r="AN674" s="454"/>
      <c r="AO674" s="454"/>
      <c r="AP674" s="454"/>
      <c r="AQ674" s="454"/>
      <c r="AR674" s="454"/>
      <c r="AS674" s="454"/>
      <c r="AT674" s="454"/>
      <c r="AU674" s="454"/>
      <c r="AV674" s="454"/>
      <c r="AW674" s="454"/>
      <c r="AX674" s="454"/>
      <c r="AY674" s="486" t="str">
        <f t="shared" si="40"/>
        <v/>
      </c>
      <c r="AZ674" s="487">
        <f t="shared" si="41"/>
        <v>1</v>
      </c>
      <c r="BA674" s="454"/>
      <c r="BB674" s="454"/>
      <c r="BC674" s="454"/>
      <c r="BD674" s="454"/>
      <c r="BE674" s="454"/>
      <c r="BF674" s="454"/>
      <c r="BG674" s="454"/>
      <c r="BH674" s="454"/>
      <c r="BI674" s="454"/>
      <c r="BJ674" s="454"/>
      <c r="BK674" s="454"/>
      <c r="BL674" s="454"/>
      <c r="BM674" s="454"/>
      <c r="BN674" s="454"/>
      <c r="BO674" s="454"/>
      <c r="BP674" s="454"/>
      <c r="BQ674" s="454"/>
      <c r="BR674" s="454"/>
      <c r="BS674" s="454"/>
      <c r="BT674" s="454"/>
      <c r="BU674" s="454"/>
      <c r="BV674" s="454"/>
      <c r="BW674" s="454"/>
      <c r="BX674" s="454"/>
      <c r="BY674" s="454"/>
      <c r="BZ674" s="454"/>
      <c r="CA674" s="454"/>
      <c r="CB674" s="454"/>
      <c r="CC674" s="454"/>
      <c r="CD674" s="454"/>
      <c r="CE674" s="454"/>
      <c r="CF674" s="454"/>
      <c r="CG674" s="454"/>
      <c r="CH674" s="456"/>
      <c r="CI674" s="454"/>
      <c r="CJ674" s="454"/>
      <c r="CK674" s="454"/>
      <c r="CL674" s="454"/>
    </row>
    <row r="675" spans="1:90" s="461" customFormat="1" ht="12" customHeight="1" x14ac:dyDescent="0.15">
      <c r="A675" s="522" t="s">
        <v>3178</v>
      </c>
      <c r="B675" s="467">
        <v>42555</v>
      </c>
      <c r="C675" s="468" t="s">
        <v>2268</v>
      </c>
      <c r="D675" s="468" t="s">
        <v>4224</v>
      </c>
      <c r="E675" s="468" t="s">
        <v>4628</v>
      </c>
      <c r="F675" s="468" t="s">
        <v>4171</v>
      </c>
      <c r="G675" s="466">
        <v>7</v>
      </c>
      <c r="H675" s="465">
        <v>7</v>
      </c>
      <c r="I675" s="466"/>
      <c r="J675" s="466"/>
      <c r="K675" s="466">
        <v>8</v>
      </c>
      <c r="L675" s="506">
        <v>12</v>
      </c>
      <c r="M675" s="463">
        <v>51000</v>
      </c>
      <c r="N675" s="468" t="s">
        <v>4296</v>
      </c>
      <c r="O675" s="466">
        <v>7</v>
      </c>
      <c r="P675" s="523">
        <v>-12</v>
      </c>
      <c r="Q675" s="462">
        <v>9.8229166666666669E-4</v>
      </c>
      <c r="R675" s="463">
        <v>500</v>
      </c>
      <c r="S675" s="466"/>
      <c r="T675" s="524"/>
      <c r="W675" s="460"/>
      <c r="AY675" s="486" t="str">
        <f t="shared" si="40"/>
        <v/>
      </c>
      <c r="AZ675" s="487" t="str">
        <f t="shared" si="41"/>
        <v/>
      </c>
      <c r="CH675" s="459"/>
    </row>
    <row r="676" spans="1:90" s="469" customFormat="1" ht="12" customHeight="1" x14ac:dyDescent="0.15">
      <c r="A676" s="471" t="s">
        <v>42</v>
      </c>
      <c r="B676" s="472">
        <v>42555</v>
      </c>
      <c r="C676" s="471" t="s">
        <v>3765</v>
      </c>
      <c r="D676" s="471" t="s">
        <v>3764</v>
      </c>
      <c r="E676" s="471" t="s">
        <v>4948</v>
      </c>
      <c r="F676" s="471" t="s">
        <v>775</v>
      </c>
      <c r="G676" s="473">
        <v>1</v>
      </c>
      <c r="H676" s="474">
        <v>7.5</v>
      </c>
      <c r="I676" s="475" t="s">
        <v>3730</v>
      </c>
      <c r="J676" s="475"/>
      <c r="K676" s="473">
        <v>7</v>
      </c>
      <c r="L676" s="458">
        <v>15</v>
      </c>
      <c r="M676" s="476">
        <v>13000</v>
      </c>
      <c r="N676" s="471" t="s">
        <v>5130</v>
      </c>
      <c r="O676" s="477" t="s">
        <v>431</v>
      </c>
      <c r="P676" s="478" t="s">
        <v>431</v>
      </c>
      <c r="Q676" s="479" t="s">
        <v>431</v>
      </c>
      <c r="R676" s="480" t="s">
        <v>431</v>
      </c>
      <c r="S676" s="477"/>
      <c r="T676" s="481" t="s">
        <v>3885</v>
      </c>
      <c r="U676" s="482"/>
      <c r="V676" s="482"/>
      <c r="W676" s="483"/>
      <c r="X676" s="482"/>
      <c r="Y676" s="482"/>
      <c r="Z676" s="482"/>
      <c r="AA676" s="482"/>
      <c r="AB676" s="482"/>
      <c r="AC676" s="482"/>
      <c r="AD676" s="482"/>
      <c r="AE676" s="482"/>
      <c r="AF676" s="482"/>
      <c r="AG676" s="482"/>
      <c r="AH676" s="482"/>
      <c r="AI676" s="482"/>
      <c r="AJ676" s="482"/>
      <c r="AK676" s="482"/>
      <c r="AL676" s="482"/>
      <c r="AM676" s="482"/>
      <c r="AN676" s="482"/>
      <c r="AO676" s="482"/>
      <c r="AP676" s="482"/>
      <c r="AQ676" s="482"/>
      <c r="AR676" s="482"/>
      <c r="AS676" s="482"/>
      <c r="AT676" s="482"/>
      <c r="AU676" s="482"/>
      <c r="AV676" s="482"/>
      <c r="AW676" s="482"/>
      <c r="AX676" s="482"/>
      <c r="AY676" s="486" t="str">
        <f t="shared" si="40"/>
        <v/>
      </c>
      <c r="AZ676" s="487" t="str">
        <f t="shared" si="41"/>
        <v/>
      </c>
      <c r="BA676" s="482"/>
      <c r="BB676" s="482"/>
      <c r="BC676" s="482"/>
      <c r="BD676" s="482"/>
      <c r="BE676" s="482"/>
      <c r="BF676" s="482"/>
      <c r="BG676" s="482"/>
      <c r="BH676" s="482"/>
      <c r="BI676" s="482"/>
      <c r="BJ676" s="482"/>
      <c r="BK676" s="482"/>
      <c r="BL676" s="482"/>
      <c r="BM676" s="482"/>
      <c r="BN676" s="482"/>
      <c r="BO676" s="482"/>
      <c r="BP676" s="482"/>
      <c r="BQ676" s="482"/>
      <c r="BR676" s="482"/>
      <c r="BS676" s="482"/>
      <c r="BT676" s="482"/>
      <c r="BU676" s="482"/>
      <c r="BV676" s="482"/>
      <c r="BW676" s="482"/>
      <c r="BX676" s="482"/>
      <c r="BY676" s="482"/>
      <c r="BZ676" s="482"/>
      <c r="CA676" s="482"/>
      <c r="CB676" s="482"/>
      <c r="CC676" s="482"/>
      <c r="CD676" s="482"/>
      <c r="CE676" s="482"/>
      <c r="CF676" s="482"/>
      <c r="CG676" s="482"/>
      <c r="CH676" s="484"/>
    </row>
    <row r="677" spans="1:90" s="461" customFormat="1" ht="12" customHeight="1" x14ac:dyDescent="0.15">
      <c r="A677" s="522" t="s">
        <v>2480</v>
      </c>
      <c r="B677" s="467">
        <v>42555</v>
      </c>
      <c r="C677" s="468" t="s">
        <v>3992</v>
      </c>
      <c r="D677" s="468" t="s">
        <v>3990</v>
      </c>
      <c r="E677" s="468" t="s">
        <v>4034</v>
      </c>
      <c r="F677" s="468" t="s">
        <v>540</v>
      </c>
      <c r="G677" s="466">
        <v>9</v>
      </c>
      <c r="H677" s="465">
        <v>6</v>
      </c>
      <c r="I677" s="466"/>
      <c r="J677" s="466"/>
      <c r="K677" s="466">
        <v>9</v>
      </c>
      <c r="L677" s="506">
        <v>15</v>
      </c>
      <c r="M677" s="463">
        <v>18000</v>
      </c>
      <c r="N677" s="468" t="s">
        <v>4720</v>
      </c>
      <c r="O677" s="466">
        <v>3</v>
      </c>
      <c r="P677" s="523">
        <v>-6</v>
      </c>
      <c r="Q677" s="462">
        <v>8.2627314814814814E-4</v>
      </c>
      <c r="R677" s="463">
        <v>1600</v>
      </c>
      <c r="S677" s="466"/>
      <c r="T677" s="524"/>
      <c r="W677" s="460"/>
      <c r="AY677" s="486" t="str">
        <f t="shared" si="40"/>
        <v/>
      </c>
      <c r="AZ677" s="487" t="str">
        <f t="shared" si="41"/>
        <v/>
      </c>
      <c r="CH677" s="459"/>
    </row>
    <row r="678" spans="1:90" s="461" customFormat="1" ht="12" customHeight="1" x14ac:dyDescent="0.15">
      <c r="A678" s="522" t="s">
        <v>2475</v>
      </c>
      <c r="B678" s="467">
        <v>42555</v>
      </c>
      <c r="C678" s="468" t="s">
        <v>5176</v>
      </c>
      <c r="D678" s="468" t="s">
        <v>4772</v>
      </c>
      <c r="E678" s="468" t="s">
        <v>4600</v>
      </c>
      <c r="F678" s="468" t="s">
        <v>788</v>
      </c>
      <c r="G678" s="466">
        <v>10</v>
      </c>
      <c r="H678" s="465">
        <v>5.5</v>
      </c>
      <c r="I678" s="466" t="s">
        <v>959</v>
      </c>
      <c r="J678" s="466" t="s">
        <v>4366</v>
      </c>
      <c r="K678" s="466">
        <v>12</v>
      </c>
      <c r="L678" s="506">
        <v>10</v>
      </c>
      <c r="M678" s="463">
        <v>27000</v>
      </c>
      <c r="N678" s="468" t="s">
        <v>4776</v>
      </c>
      <c r="O678" s="466">
        <v>4</v>
      </c>
      <c r="P678" s="523">
        <v>-5.5</v>
      </c>
      <c r="Q678" s="462">
        <v>7.782407407407408E-4</v>
      </c>
      <c r="R678" s="463">
        <v>810</v>
      </c>
      <c r="S678" s="466"/>
      <c r="T678" s="524"/>
      <c r="W678" s="460"/>
      <c r="AY678" s="486" t="str">
        <f t="shared" si="40"/>
        <v/>
      </c>
      <c r="AZ678" s="487" t="str">
        <f t="shared" si="41"/>
        <v/>
      </c>
      <c r="CH678" s="459"/>
    </row>
    <row r="679" spans="1:90" s="469" customFormat="1" ht="12" customHeight="1" x14ac:dyDescent="0.15">
      <c r="A679" s="444" t="s">
        <v>36</v>
      </c>
      <c r="B679" s="445">
        <v>42557</v>
      </c>
      <c r="C679" s="446" t="s">
        <v>4563</v>
      </c>
      <c r="D679" s="446" t="s">
        <v>4564</v>
      </c>
      <c r="E679" s="446" t="s">
        <v>4036</v>
      </c>
      <c r="F679" s="446" t="s">
        <v>775</v>
      </c>
      <c r="G679" s="447">
        <v>2</v>
      </c>
      <c r="H679" s="448">
        <v>6</v>
      </c>
      <c r="I679" s="447"/>
      <c r="J679" s="447"/>
      <c r="K679" s="447">
        <v>7</v>
      </c>
      <c r="L679" s="449">
        <f>9/5</f>
        <v>1.8</v>
      </c>
      <c r="M679" s="450">
        <v>6500</v>
      </c>
      <c r="N679" s="446" t="s">
        <v>197</v>
      </c>
      <c r="O679" s="447">
        <v>1</v>
      </c>
      <c r="P679" s="451">
        <v>1.25</v>
      </c>
      <c r="Q679" s="452">
        <v>8.3414351851851846E-4</v>
      </c>
      <c r="R679" s="450">
        <v>3900</v>
      </c>
      <c r="S679" s="447"/>
      <c r="T679" s="453" t="s">
        <v>3714</v>
      </c>
      <c r="U679" s="454"/>
      <c r="V679" s="454"/>
      <c r="W679" s="455"/>
      <c r="X679" s="454"/>
      <c r="Y679" s="454"/>
      <c r="Z679" s="454"/>
      <c r="AA679" s="454"/>
      <c r="AB679" s="454"/>
      <c r="AC679" s="454"/>
      <c r="AD679" s="454"/>
      <c r="AE679" s="454"/>
      <c r="AF679" s="454"/>
      <c r="AG679" s="454"/>
      <c r="AH679" s="454"/>
      <c r="AI679" s="454"/>
      <c r="AJ679" s="454"/>
      <c r="AK679" s="454"/>
      <c r="AL679" s="454"/>
      <c r="AM679" s="454"/>
      <c r="AN679" s="454"/>
      <c r="AO679" s="454"/>
      <c r="AP679" s="454"/>
      <c r="AQ679" s="454"/>
      <c r="AR679" s="454"/>
      <c r="AS679" s="454"/>
      <c r="AT679" s="454"/>
      <c r="AU679" s="454"/>
      <c r="AV679" s="454"/>
      <c r="AW679" s="454"/>
      <c r="AX679" s="454"/>
      <c r="AY679" s="486" t="str">
        <f t="shared" si="40"/>
        <v/>
      </c>
      <c r="AZ679" s="487">
        <f t="shared" si="41"/>
        <v>1</v>
      </c>
      <c r="BA679" s="454"/>
      <c r="BB679" s="454"/>
      <c r="BC679" s="454"/>
      <c r="BD679" s="454"/>
      <c r="BE679" s="454"/>
      <c r="BF679" s="454"/>
      <c r="BG679" s="454"/>
      <c r="BH679" s="454"/>
      <c r="BI679" s="454"/>
      <c r="BJ679" s="454"/>
      <c r="BK679" s="454"/>
      <c r="BL679" s="454"/>
      <c r="BM679" s="454"/>
      <c r="BN679" s="454"/>
      <c r="BO679" s="454"/>
      <c r="BP679" s="454"/>
      <c r="BQ679" s="454"/>
      <c r="BR679" s="454"/>
      <c r="BS679" s="454"/>
      <c r="BT679" s="454"/>
      <c r="BU679" s="454"/>
      <c r="BV679" s="454"/>
      <c r="BW679" s="454"/>
      <c r="BX679" s="454"/>
      <c r="BY679" s="454"/>
      <c r="BZ679" s="454"/>
      <c r="CA679" s="454"/>
      <c r="CB679" s="454"/>
      <c r="CC679" s="454"/>
      <c r="CD679" s="454"/>
      <c r="CE679" s="454"/>
      <c r="CF679" s="454"/>
      <c r="CG679" s="454"/>
      <c r="CH679" s="456"/>
      <c r="CI679" s="454"/>
      <c r="CJ679" s="454"/>
      <c r="CK679" s="454"/>
      <c r="CL679" s="454"/>
    </row>
    <row r="680" spans="1:90" s="469" customFormat="1" ht="12" customHeight="1" x14ac:dyDescent="0.15">
      <c r="A680" s="444" t="s">
        <v>1666</v>
      </c>
      <c r="B680" s="445">
        <v>42557</v>
      </c>
      <c r="C680" s="446" t="s">
        <v>4846</v>
      </c>
      <c r="D680" s="446" t="s">
        <v>4826</v>
      </c>
      <c r="E680" s="446" t="s">
        <v>4981</v>
      </c>
      <c r="F680" s="446" t="s">
        <v>1164</v>
      </c>
      <c r="G680" s="447">
        <v>8</v>
      </c>
      <c r="H680" s="448">
        <v>6</v>
      </c>
      <c r="I680" s="447"/>
      <c r="J680" s="447"/>
      <c r="K680" s="447">
        <v>6</v>
      </c>
      <c r="L680" s="449">
        <f>4/5</f>
        <v>0.8</v>
      </c>
      <c r="M680" s="450">
        <v>20600</v>
      </c>
      <c r="N680" s="446" t="s">
        <v>4296</v>
      </c>
      <c r="O680" s="447">
        <v>1</v>
      </c>
      <c r="P680" s="451">
        <v>7</v>
      </c>
      <c r="Q680" s="452">
        <v>8.0092592592592585E-4</v>
      </c>
      <c r="R680" s="450">
        <v>16080</v>
      </c>
      <c r="S680" s="447"/>
      <c r="T680" s="453" t="s">
        <v>3714</v>
      </c>
      <c r="U680" s="454"/>
      <c r="V680" s="454"/>
      <c r="W680" s="455"/>
      <c r="X680" s="454"/>
      <c r="Y680" s="454"/>
      <c r="Z680" s="454"/>
      <c r="AA680" s="454"/>
      <c r="AB680" s="454"/>
      <c r="AC680" s="454"/>
      <c r="AD680" s="454"/>
      <c r="AE680" s="454"/>
      <c r="AF680" s="454"/>
      <c r="AG680" s="454"/>
      <c r="AH680" s="454"/>
      <c r="AI680" s="454"/>
      <c r="AJ680" s="454"/>
      <c r="AK680" s="454"/>
      <c r="AL680" s="454"/>
      <c r="AM680" s="454"/>
      <c r="AN680" s="454"/>
      <c r="AO680" s="454"/>
      <c r="AP680" s="454"/>
      <c r="AQ680" s="454"/>
      <c r="AR680" s="454"/>
      <c r="AS680" s="454"/>
      <c r="AT680" s="454"/>
      <c r="AU680" s="454"/>
      <c r="AV680" s="454"/>
      <c r="AW680" s="454"/>
      <c r="AX680" s="454"/>
      <c r="AY680" s="486" t="str">
        <f t="shared" ref="AY680:AY739" si="42">IF(S680="","",R680)</f>
        <v/>
      </c>
      <c r="AZ680" s="487">
        <f t="shared" ref="AZ680:AZ739" si="43">IF(F680="Pleasant Meadows","",IF(L680="","",IF(O680="--","",IF(O680=1,1,""))))</f>
        <v>1</v>
      </c>
      <c r="BA680" s="454"/>
      <c r="BB680" s="454"/>
      <c r="BC680" s="454"/>
      <c r="BD680" s="454"/>
      <c r="BE680" s="454"/>
      <c r="BF680" s="454"/>
      <c r="BG680" s="454"/>
      <c r="BH680" s="454"/>
      <c r="BI680" s="454"/>
      <c r="BJ680" s="454"/>
      <c r="BK680" s="454"/>
      <c r="BL680" s="454"/>
      <c r="BM680" s="454"/>
      <c r="BN680" s="454"/>
      <c r="BO680" s="454"/>
      <c r="BP680" s="454"/>
      <c r="BQ680" s="454"/>
      <c r="BR680" s="454"/>
      <c r="BS680" s="454"/>
      <c r="BT680" s="454"/>
      <c r="BU680" s="454"/>
      <c r="BV680" s="454"/>
      <c r="BW680" s="454"/>
      <c r="BX680" s="454"/>
      <c r="BY680" s="454"/>
      <c r="BZ680" s="454"/>
      <c r="CA680" s="454"/>
      <c r="CB680" s="454"/>
      <c r="CC680" s="454"/>
      <c r="CD680" s="454"/>
      <c r="CE680" s="454"/>
      <c r="CF680" s="454"/>
      <c r="CG680" s="454"/>
      <c r="CH680" s="456"/>
      <c r="CI680" s="454"/>
      <c r="CJ680" s="454"/>
      <c r="CK680" s="454"/>
      <c r="CL680" s="454"/>
    </row>
    <row r="681" spans="1:90" s="469" customFormat="1" ht="12" customHeight="1" x14ac:dyDescent="0.15">
      <c r="A681" s="444" t="s">
        <v>2177</v>
      </c>
      <c r="B681" s="445">
        <v>42557</v>
      </c>
      <c r="C681" s="446" t="s">
        <v>1805</v>
      </c>
      <c r="D681" s="446" t="s">
        <v>3855</v>
      </c>
      <c r="E681" s="446" t="s">
        <v>5175</v>
      </c>
      <c r="F681" s="446" t="s">
        <v>2376</v>
      </c>
      <c r="G681" s="447">
        <v>3</v>
      </c>
      <c r="H681" s="448">
        <v>8.5</v>
      </c>
      <c r="I681" s="447" t="s">
        <v>3730</v>
      </c>
      <c r="J681" s="447"/>
      <c r="K681" s="447">
        <v>8</v>
      </c>
      <c r="L681" s="449">
        <v>6</v>
      </c>
      <c r="M681" s="450">
        <v>33300</v>
      </c>
      <c r="N681" s="446" t="s">
        <v>4211</v>
      </c>
      <c r="O681" s="447">
        <v>1</v>
      </c>
      <c r="P681" s="451">
        <v>4.5</v>
      </c>
      <c r="Q681" s="452">
        <v>1.1761574074074074E-3</v>
      </c>
      <c r="R681" s="450">
        <v>19980</v>
      </c>
      <c r="S681" s="447"/>
      <c r="T681" s="453"/>
      <c r="U681" s="454"/>
      <c r="V681" s="454"/>
      <c r="W681" s="455"/>
      <c r="X681" s="454"/>
      <c r="Y681" s="454"/>
      <c r="Z681" s="454"/>
      <c r="AA681" s="454"/>
      <c r="AB681" s="454"/>
      <c r="AC681" s="454"/>
      <c r="AD681" s="454"/>
      <c r="AE681" s="454"/>
      <c r="AF681" s="454"/>
      <c r="AG681" s="454"/>
      <c r="AH681" s="454"/>
      <c r="AI681" s="454"/>
      <c r="AJ681" s="454"/>
      <c r="AK681" s="454"/>
      <c r="AL681" s="454"/>
      <c r="AM681" s="454"/>
      <c r="AN681" s="454"/>
      <c r="AO681" s="454"/>
      <c r="AP681" s="454"/>
      <c r="AQ681" s="454"/>
      <c r="AR681" s="454"/>
      <c r="AS681" s="454"/>
      <c r="AT681" s="454"/>
      <c r="AU681" s="454"/>
      <c r="AV681" s="454"/>
      <c r="AW681" s="454"/>
      <c r="AX681" s="454"/>
      <c r="AY681" s="486" t="str">
        <f t="shared" si="42"/>
        <v/>
      </c>
      <c r="AZ681" s="487">
        <f t="shared" si="43"/>
        <v>1</v>
      </c>
      <c r="BA681" s="454"/>
      <c r="BB681" s="454"/>
      <c r="BC681" s="454"/>
      <c r="BD681" s="454"/>
      <c r="BE681" s="454"/>
      <c r="BF681" s="454"/>
      <c r="BG681" s="454"/>
      <c r="BH681" s="454"/>
      <c r="BI681" s="454"/>
      <c r="BJ681" s="454"/>
      <c r="BK681" s="454"/>
      <c r="BL681" s="454"/>
      <c r="BM681" s="454"/>
      <c r="BN681" s="454"/>
      <c r="BO681" s="454"/>
      <c r="BP681" s="454"/>
      <c r="BQ681" s="454"/>
      <c r="BR681" s="454"/>
      <c r="BS681" s="454"/>
      <c r="BT681" s="454"/>
      <c r="BU681" s="454"/>
      <c r="BV681" s="454"/>
      <c r="BW681" s="454"/>
      <c r="BX681" s="454"/>
      <c r="BY681" s="454"/>
      <c r="BZ681" s="454"/>
      <c r="CA681" s="454"/>
      <c r="CB681" s="454"/>
      <c r="CC681" s="454"/>
      <c r="CD681" s="454"/>
      <c r="CE681" s="454"/>
      <c r="CF681" s="454"/>
      <c r="CG681" s="454"/>
      <c r="CH681" s="456"/>
      <c r="CI681" s="454"/>
      <c r="CJ681" s="454"/>
      <c r="CK681" s="454"/>
      <c r="CL681" s="454"/>
    </row>
    <row r="682" spans="1:90" s="461" customFormat="1" ht="12" x14ac:dyDescent="0.15">
      <c r="A682" s="522" t="s">
        <v>1557</v>
      </c>
      <c r="B682" s="467">
        <v>42558</v>
      </c>
      <c r="C682" s="468" t="s">
        <v>4250</v>
      </c>
      <c r="D682" s="468" t="s">
        <v>4247</v>
      </c>
      <c r="E682" s="468" t="s">
        <v>5029</v>
      </c>
      <c r="F682" s="468" t="s">
        <v>256</v>
      </c>
      <c r="G682" s="466">
        <v>5</v>
      </c>
      <c r="H682" s="465">
        <v>5.5</v>
      </c>
      <c r="I682" s="466"/>
      <c r="J682" s="466"/>
      <c r="K682" s="466">
        <v>7</v>
      </c>
      <c r="L682" s="506">
        <v>6</v>
      </c>
      <c r="M682" s="463">
        <v>11000</v>
      </c>
      <c r="N682" s="468" t="s">
        <v>197</v>
      </c>
      <c r="O682" s="466">
        <v>5</v>
      </c>
      <c r="P682" s="523">
        <v>-7</v>
      </c>
      <c r="Q682" s="462">
        <v>7.5752314814814812E-4</v>
      </c>
      <c r="R682" s="463">
        <v>324</v>
      </c>
      <c r="S682" s="466"/>
      <c r="T682" s="524"/>
      <c r="W682" s="460"/>
      <c r="AY682" s="486" t="str">
        <f t="shared" si="42"/>
        <v/>
      </c>
      <c r="AZ682" s="487" t="str">
        <f t="shared" si="43"/>
        <v/>
      </c>
      <c r="CH682" s="459"/>
    </row>
    <row r="683" spans="1:90" s="461" customFormat="1" ht="12" x14ac:dyDescent="0.15">
      <c r="A683" s="522" t="s">
        <v>1788</v>
      </c>
      <c r="B683" s="467">
        <v>42559</v>
      </c>
      <c r="C683" s="468" t="s">
        <v>1474</v>
      </c>
      <c r="D683" s="468" t="s">
        <v>5331</v>
      </c>
      <c r="E683" s="468" t="s">
        <v>5332</v>
      </c>
      <c r="F683" s="468" t="s">
        <v>5333</v>
      </c>
      <c r="G683" s="466">
        <v>10</v>
      </c>
      <c r="H683" s="465">
        <f>1870/200</f>
        <v>9.35</v>
      </c>
      <c r="I683" s="466"/>
      <c r="J683" s="466"/>
      <c r="K683" s="466">
        <v>10</v>
      </c>
      <c r="L683" s="464" t="s">
        <v>431</v>
      </c>
      <c r="M683" s="463">
        <v>22645</v>
      </c>
      <c r="N683" s="468" t="s">
        <v>4296</v>
      </c>
      <c r="O683" s="466">
        <v>6</v>
      </c>
      <c r="P683" s="523">
        <v>-15</v>
      </c>
      <c r="Q683" s="462">
        <v>1.4351851851851854E-3</v>
      </c>
      <c r="R683" s="463">
        <v>0</v>
      </c>
      <c r="S683" s="466"/>
      <c r="T683" s="524"/>
      <c r="W683" s="460"/>
      <c r="AY683" s="486" t="str">
        <f t="shared" si="42"/>
        <v/>
      </c>
      <c r="AZ683" s="487"/>
      <c r="CH683" s="459"/>
    </row>
    <row r="684" spans="1:90" s="461" customFormat="1" ht="12" x14ac:dyDescent="0.15">
      <c r="A684" s="522" t="s">
        <v>2276</v>
      </c>
      <c r="B684" s="467">
        <v>42559</v>
      </c>
      <c r="C684" s="468" t="s">
        <v>1786</v>
      </c>
      <c r="D684" s="468" t="s">
        <v>4257</v>
      </c>
      <c r="E684" s="468" t="s">
        <v>4949</v>
      </c>
      <c r="F684" s="468" t="s">
        <v>2376</v>
      </c>
      <c r="G684" s="466">
        <v>5</v>
      </c>
      <c r="H684" s="465">
        <v>8.5</v>
      </c>
      <c r="I684" s="466"/>
      <c r="J684" s="466"/>
      <c r="K684" s="466">
        <v>12</v>
      </c>
      <c r="L684" s="506">
        <v>8</v>
      </c>
      <c r="M684" s="463">
        <v>33300</v>
      </c>
      <c r="N684" s="468" t="s">
        <v>4296</v>
      </c>
      <c r="O684" s="466">
        <v>3</v>
      </c>
      <c r="P684" s="523">
        <v>-7</v>
      </c>
      <c r="Q684" s="462">
        <v>1.1745370370370369E-3</v>
      </c>
      <c r="R684" s="463">
        <v>3663</v>
      </c>
      <c r="S684" s="466"/>
      <c r="T684" s="524"/>
      <c r="W684" s="460"/>
      <c r="AY684" s="486" t="str">
        <f t="shared" si="42"/>
        <v/>
      </c>
      <c r="AZ684" s="487" t="str">
        <f t="shared" si="43"/>
        <v/>
      </c>
      <c r="CH684" s="459"/>
    </row>
    <row r="685" spans="1:90" s="461" customFormat="1" ht="12" x14ac:dyDescent="0.15">
      <c r="A685" s="522" t="s">
        <v>351</v>
      </c>
      <c r="B685" s="467">
        <v>42559</v>
      </c>
      <c r="C685" s="468" t="s">
        <v>4845</v>
      </c>
      <c r="D685" s="468" t="s">
        <v>4841</v>
      </c>
      <c r="E685" s="468" t="s">
        <v>4842</v>
      </c>
      <c r="F685" s="468" t="s">
        <v>4843</v>
      </c>
      <c r="G685" s="466">
        <v>2</v>
      </c>
      <c r="H685" s="465">
        <v>6</v>
      </c>
      <c r="I685" s="466"/>
      <c r="J685" s="466"/>
      <c r="K685" s="466">
        <v>7</v>
      </c>
      <c r="L685" s="525">
        <v>10</v>
      </c>
      <c r="M685" s="463">
        <v>5862</v>
      </c>
      <c r="N685" s="468" t="s">
        <v>5087</v>
      </c>
      <c r="O685" s="466">
        <v>3</v>
      </c>
      <c r="P685" s="523">
        <v>-1.75</v>
      </c>
      <c r="Q685" s="462">
        <v>8.449074074074075E-4</v>
      </c>
      <c r="R685" s="463">
        <v>577</v>
      </c>
      <c r="S685" s="466"/>
      <c r="T685" s="524"/>
      <c r="W685" s="460"/>
      <c r="AY685" s="486" t="str">
        <f t="shared" si="42"/>
        <v/>
      </c>
      <c r="AZ685" s="487" t="str">
        <f t="shared" si="43"/>
        <v/>
      </c>
      <c r="CH685" s="459"/>
    </row>
    <row r="686" spans="1:90" s="461" customFormat="1" ht="12" x14ac:dyDescent="0.15">
      <c r="A686" s="522" t="s">
        <v>4656</v>
      </c>
      <c r="B686" s="467">
        <v>42560</v>
      </c>
      <c r="C686" s="468" t="s">
        <v>4521</v>
      </c>
      <c r="D686" s="468" t="s">
        <v>3192</v>
      </c>
      <c r="E686" s="468" t="s">
        <v>3683</v>
      </c>
      <c r="F686" s="468" t="s">
        <v>3686</v>
      </c>
      <c r="G686" s="466">
        <v>2</v>
      </c>
      <c r="H686" s="465">
        <v>6</v>
      </c>
      <c r="I686" s="466"/>
      <c r="J686" s="466"/>
      <c r="K686" s="466">
        <v>8</v>
      </c>
      <c r="L686" s="506">
        <v>5</v>
      </c>
      <c r="M686" s="463">
        <v>5363</v>
      </c>
      <c r="N686" s="468" t="s">
        <v>3739</v>
      </c>
      <c r="O686" s="466">
        <v>4</v>
      </c>
      <c r="P686" s="523">
        <v>-11</v>
      </c>
      <c r="Q686" s="462">
        <v>8.1458333333333339E-4</v>
      </c>
      <c r="R686" s="463">
        <v>320</v>
      </c>
      <c r="S686" s="466" t="s">
        <v>625</v>
      </c>
      <c r="T686" s="524"/>
      <c r="W686" s="460"/>
      <c r="AY686" s="486">
        <f t="shared" si="42"/>
        <v>320</v>
      </c>
      <c r="AZ686" s="487" t="str">
        <f t="shared" si="43"/>
        <v/>
      </c>
      <c r="CH686" s="459"/>
    </row>
    <row r="687" spans="1:90" s="469" customFormat="1" ht="12" customHeight="1" x14ac:dyDescent="0.15">
      <c r="A687" s="471" t="s">
        <v>1534</v>
      </c>
      <c r="B687" s="472">
        <v>42560</v>
      </c>
      <c r="C687" s="471" t="s">
        <v>4825</v>
      </c>
      <c r="D687" s="471" t="s">
        <v>4934</v>
      </c>
      <c r="E687" s="471" t="s">
        <v>4819</v>
      </c>
      <c r="F687" s="471" t="s">
        <v>3300</v>
      </c>
      <c r="G687" s="473">
        <v>6</v>
      </c>
      <c r="H687" s="474">
        <v>8</v>
      </c>
      <c r="I687" s="475"/>
      <c r="J687" s="475"/>
      <c r="K687" s="473">
        <v>8</v>
      </c>
      <c r="L687" s="458">
        <v>6</v>
      </c>
      <c r="M687" s="476">
        <v>15000</v>
      </c>
      <c r="N687" s="471" t="s">
        <v>197</v>
      </c>
      <c r="O687" s="477" t="s">
        <v>431</v>
      </c>
      <c r="P687" s="478" t="s">
        <v>431</v>
      </c>
      <c r="Q687" s="479" t="s">
        <v>431</v>
      </c>
      <c r="R687" s="480" t="s">
        <v>431</v>
      </c>
      <c r="S687" s="477"/>
      <c r="T687" s="481" t="s">
        <v>5207</v>
      </c>
      <c r="U687" s="482"/>
      <c r="V687" s="482"/>
      <c r="W687" s="483"/>
      <c r="X687" s="482"/>
      <c r="Y687" s="482"/>
      <c r="Z687" s="482"/>
      <c r="AA687" s="482"/>
      <c r="AB687" s="482"/>
      <c r="AC687" s="482"/>
      <c r="AD687" s="482"/>
      <c r="AE687" s="482"/>
      <c r="AF687" s="482"/>
      <c r="AG687" s="482"/>
      <c r="AH687" s="482"/>
      <c r="AI687" s="482"/>
      <c r="AJ687" s="482"/>
      <c r="AK687" s="482"/>
      <c r="AL687" s="482"/>
      <c r="AM687" s="482"/>
      <c r="AN687" s="482"/>
      <c r="AO687" s="482"/>
      <c r="AP687" s="482"/>
      <c r="AQ687" s="482"/>
      <c r="AR687" s="482"/>
      <c r="AS687" s="482"/>
      <c r="AT687" s="482"/>
      <c r="AU687" s="482"/>
      <c r="AV687" s="482"/>
      <c r="AW687" s="482"/>
      <c r="AX687" s="482"/>
      <c r="AY687" s="486" t="str">
        <f t="shared" si="42"/>
        <v/>
      </c>
      <c r="AZ687" s="487" t="str">
        <f t="shared" si="43"/>
        <v/>
      </c>
      <c r="BA687" s="482"/>
      <c r="BB687" s="482"/>
      <c r="BC687" s="482"/>
      <c r="BD687" s="482"/>
      <c r="BE687" s="482"/>
      <c r="BF687" s="482"/>
      <c r="BG687" s="482"/>
      <c r="BH687" s="482"/>
      <c r="BI687" s="482"/>
      <c r="BJ687" s="482"/>
      <c r="BK687" s="482"/>
      <c r="BL687" s="482"/>
      <c r="BM687" s="482"/>
      <c r="BN687" s="482"/>
      <c r="BO687" s="482"/>
      <c r="BP687" s="482"/>
      <c r="BQ687" s="482"/>
      <c r="BR687" s="482"/>
      <c r="BS687" s="482"/>
      <c r="BT687" s="482"/>
      <c r="BU687" s="482"/>
      <c r="BV687" s="482"/>
      <c r="BW687" s="482"/>
      <c r="BX687" s="482"/>
      <c r="BY687" s="482"/>
      <c r="BZ687" s="482"/>
      <c r="CA687" s="482"/>
      <c r="CB687" s="482"/>
      <c r="CC687" s="482"/>
      <c r="CD687" s="482"/>
      <c r="CE687" s="482"/>
      <c r="CF687" s="482"/>
      <c r="CG687" s="482"/>
      <c r="CH687" s="484"/>
    </row>
    <row r="688" spans="1:90" s="469" customFormat="1" ht="12" customHeight="1" x14ac:dyDescent="0.15">
      <c r="A688" s="444" t="s">
        <v>4003</v>
      </c>
      <c r="B688" s="445">
        <v>42560</v>
      </c>
      <c r="C688" s="446" t="s">
        <v>4004</v>
      </c>
      <c r="D688" s="446" t="s">
        <v>4005</v>
      </c>
      <c r="E688" s="446" t="s">
        <v>3683</v>
      </c>
      <c r="F688" s="446" t="s">
        <v>3686</v>
      </c>
      <c r="G688" s="447">
        <v>3</v>
      </c>
      <c r="H688" s="447">
        <v>6.5</v>
      </c>
      <c r="I688" s="447"/>
      <c r="J688" s="447"/>
      <c r="K688" s="447">
        <v>9</v>
      </c>
      <c r="L688" s="449">
        <f>9/2</f>
        <v>4.5</v>
      </c>
      <c r="M688" s="450">
        <v>7336</v>
      </c>
      <c r="N688" s="446" t="s">
        <v>3653</v>
      </c>
      <c r="O688" s="447">
        <v>1</v>
      </c>
      <c r="P688" s="451">
        <v>5</v>
      </c>
      <c r="Q688" s="452">
        <v>8.9745370370370369E-4</v>
      </c>
      <c r="R688" s="450">
        <v>4380</v>
      </c>
      <c r="S688" s="447" t="s">
        <v>625</v>
      </c>
      <c r="T688" s="453"/>
      <c r="U688" s="454"/>
      <c r="V688" s="454"/>
      <c r="W688" s="455"/>
      <c r="X688" s="454"/>
      <c r="Y688" s="454"/>
      <c r="Z688" s="454"/>
      <c r="AA688" s="454"/>
      <c r="AB688" s="454"/>
      <c r="AC688" s="454"/>
      <c r="AD688" s="454"/>
      <c r="AE688" s="454"/>
      <c r="AF688" s="454"/>
      <c r="AG688" s="454"/>
      <c r="AH688" s="454"/>
      <c r="AI688" s="454"/>
      <c r="AJ688" s="454"/>
      <c r="AK688" s="454"/>
      <c r="AL688" s="454"/>
      <c r="AM688" s="454"/>
      <c r="AN688" s="454"/>
      <c r="AO688" s="454"/>
      <c r="AP688" s="454"/>
      <c r="AQ688" s="454"/>
      <c r="AR688" s="454"/>
      <c r="AS688" s="454"/>
      <c r="AT688" s="454"/>
      <c r="AU688" s="454"/>
      <c r="AV688" s="454"/>
      <c r="AW688" s="454"/>
      <c r="AX688" s="454"/>
      <c r="AY688" s="486">
        <f t="shared" si="42"/>
        <v>4380</v>
      </c>
      <c r="AZ688" s="487">
        <f t="shared" si="43"/>
        <v>1</v>
      </c>
      <c r="BA688" s="454"/>
      <c r="BB688" s="454"/>
      <c r="BC688" s="454"/>
      <c r="BD688" s="454"/>
      <c r="BE688" s="454"/>
      <c r="BF688" s="454"/>
      <c r="BG688" s="454"/>
      <c r="BH688" s="454"/>
      <c r="BI688" s="454"/>
      <c r="BJ688" s="454"/>
      <c r="BK688" s="454"/>
      <c r="BL688" s="454"/>
      <c r="BM688" s="454"/>
      <c r="BN688" s="454"/>
      <c r="BO688" s="454"/>
      <c r="BP688" s="454"/>
      <c r="BQ688" s="454"/>
      <c r="BR688" s="454"/>
      <c r="BS688" s="454"/>
      <c r="BT688" s="454"/>
      <c r="BU688" s="454"/>
      <c r="BV688" s="454"/>
      <c r="BW688" s="454"/>
      <c r="BX688" s="454"/>
      <c r="BY688" s="454"/>
      <c r="BZ688" s="454"/>
      <c r="CA688" s="454"/>
      <c r="CB688" s="454"/>
      <c r="CC688" s="454"/>
      <c r="CD688" s="454"/>
      <c r="CE688" s="454"/>
      <c r="CF688" s="454"/>
      <c r="CG688" s="454"/>
      <c r="CH688" s="456"/>
      <c r="CI688" s="454"/>
      <c r="CJ688" s="454"/>
      <c r="CK688" s="454"/>
      <c r="CL688" s="454"/>
    </row>
    <row r="689" spans="1:86" s="461" customFormat="1" ht="12" customHeight="1" x14ac:dyDescent="0.15">
      <c r="A689" s="522" t="s">
        <v>3204</v>
      </c>
      <c r="B689" s="467">
        <v>42560</v>
      </c>
      <c r="C689" s="468" t="s">
        <v>3633</v>
      </c>
      <c r="D689" s="468" t="s">
        <v>3295</v>
      </c>
      <c r="E689" s="468" t="s">
        <v>4979</v>
      </c>
      <c r="F689" s="468" t="s">
        <v>788</v>
      </c>
      <c r="G689" s="466">
        <v>3</v>
      </c>
      <c r="H689" s="465">
        <v>5.5</v>
      </c>
      <c r="I689" s="466" t="s">
        <v>3730</v>
      </c>
      <c r="J689" s="466"/>
      <c r="K689" s="466">
        <v>10</v>
      </c>
      <c r="L689" s="525">
        <v>30</v>
      </c>
      <c r="M689" s="463">
        <v>22000</v>
      </c>
      <c r="N689" s="468" t="s">
        <v>4720</v>
      </c>
      <c r="O689" s="466">
        <v>8</v>
      </c>
      <c r="P689" s="523">
        <v>-7.5</v>
      </c>
      <c r="Q689" s="462">
        <v>7.2384259259259266E-4</v>
      </c>
      <c r="R689" s="463">
        <v>0</v>
      </c>
      <c r="S689" s="466"/>
      <c r="T689" s="524"/>
      <c r="W689" s="460"/>
      <c r="AY689" s="486" t="str">
        <f t="shared" si="42"/>
        <v/>
      </c>
      <c r="AZ689" s="487" t="str">
        <f t="shared" si="43"/>
        <v/>
      </c>
      <c r="CH689" s="459"/>
    </row>
    <row r="690" spans="1:86" s="469" customFormat="1" ht="12" customHeight="1" x14ac:dyDescent="0.15">
      <c r="A690" s="471" t="s">
        <v>1295</v>
      </c>
      <c r="B690" s="472">
        <v>42560</v>
      </c>
      <c r="C690" s="471" t="s">
        <v>646</v>
      </c>
      <c r="D690" s="471" t="s">
        <v>3751</v>
      </c>
      <c r="E690" s="471" t="s">
        <v>3188</v>
      </c>
      <c r="F690" s="471" t="s">
        <v>881</v>
      </c>
      <c r="G690" s="473">
        <v>9</v>
      </c>
      <c r="H690" s="474">
        <v>12</v>
      </c>
      <c r="I690" s="475" t="s">
        <v>3730</v>
      </c>
      <c r="J690" s="475"/>
      <c r="K690" s="473">
        <v>11</v>
      </c>
      <c r="L690" s="485" t="s">
        <v>431</v>
      </c>
      <c r="M690" s="476">
        <v>50000</v>
      </c>
      <c r="N690" s="471" t="s">
        <v>5177</v>
      </c>
      <c r="O690" s="477" t="s">
        <v>431</v>
      </c>
      <c r="P690" s="478" t="s">
        <v>431</v>
      </c>
      <c r="Q690" s="479" t="s">
        <v>431</v>
      </c>
      <c r="R690" s="480" t="s">
        <v>431</v>
      </c>
      <c r="S690" s="477"/>
      <c r="T690" s="481" t="s">
        <v>4110</v>
      </c>
      <c r="U690" s="482"/>
      <c r="V690" s="482"/>
      <c r="W690" s="483"/>
      <c r="X690" s="482"/>
      <c r="Y690" s="482"/>
      <c r="Z690" s="482"/>
      <c r="AA690" s="482"/>
      <c r="AB690" s="482"/>
      <c r="AC690" s="482"/>
      <c r="AD690" s="482"/>
      <c r="AE690" s="482"/>
      <c r="AF690" s="482"/>
      <c r="AG690" s="482"/>
      <c r="AH690" s="482"/>
      <c r="AI690" s="482"/>
      <c r="AJ690" s="482"/>
      <c r="AK690" s="482"/>
      <c r="AL690" s="482"/>
      <c r="AM690" s="482"/>
      <c r="AN690" s="482"/>
      <c r="AO690" s="482"/>
      <c r="AP690" s="482"/>
      <c r="AQ690" s="482"/>
      <c r="AR690" s="482"/>
      <c r="AS690" s="482"/>
      <c r="AT690" s="482"/>
      <c r="AU690" s="482"/>
      <c r="AV690" s="482"/>
      <c r="AW690" s="482"/>
      <c r="AX690" s="482"/>
      <c r="AY690" s="486" t="str">
        <f t="shared" si="42"/>
        <v/>
      </c>
      <c r="AZ690" s="487" t="str">
        <f t="shared" si="43"/>
        <v/>
      </c>
      <c r="BA690" s="482"/>
      <c r="BB690" s="482"/>
      <c r="BC690" s="482"/>
      <c r="BD690" s="482"/>
      <c r="BE690" s="482"/>
      <c r="BF690" s="482"/>
      <c r="BG690" s="482"/>
      <c r="BH690" s="482"/>
      <c r="BI690" s="482"/>
      <c r="BJ690" s="482"/>
      <c r="BK690" s="482"/>
      <c r="BL690" s="482"/>
      <c r="BM690" s="482"/>
      <c r="BN690" s="482"/>
      <c r="BO690" s="482"/>
      <c r="BP690" s="482"/>
      <c r="BQ690" s="482"/>
      <c r="BR690" s="482"/>
      <c r="BS690" s="482"/>
      <c r="BT690" s="482"/>
      <c r="BU690" s="482"/>
      <c r="BV690" s="482"/>
      <c r="BW690" s="482"/>
      <c r="BX690" s="482"/>
      <c r="BY690" s="482"/>
      <c r="BZ690" s="482"/>
      <c r="CA690" s="482"/>
      <c r="CB690" s="482"/>
      <c r="CC690" s="482"/>
      <c r="CD690" s="482"/>
      <c r="CE690" s="482"/>
      <c r="CF690" s="482"/>
      <c r="CG690" s="482"/>
      <c r="CH690" s="484"/>
    </row>
    <row r="691" spans="1:86" s="469" customFormat="1" ht="12" customHeight="1" x14ac:dyDescent="0.15">
      <c r="A691" s="471" t="s">
        <v>3154</v>
      </c>
      <c r="B691" s="472">
        <v>42560</v>
      </c>
      <c r="C691" s="471" t="s">
        <v>4170</v>
      </c>
      <c r="D691" s="471" t="s">
        <v>3705</v>
      </c>
      <c r="E691" s="471" t="s">
        <v>3856</v>
      </c>
      <c r="F691" s="471" t="s">
        <v>3300</v>
      </c>
      <c r="G691" s="473">
        <v>9</v>
      </c>
      <c r="H691" s="474">
        <v>8.5</v>
      </c>
      <c r="I691" s="475"/>
      <c r="J691" s="475"/>
      <c r="K691" s="473">
        <v>7</v>
      </c>
      <c r="L691" s="458">
        <v>5</v>
      </c>
      <c r="M691" s="476">
        <v>100000</v>
      </c>
      <c r="N691" s="471" t="s">
        <v>5178</v>
      </c>
      <c r="O691" s="477" t="s">
        <v>431</v>
      </c>
      <c r="P691" s="478" t="s">
        <v>431</v>
      </c>
      <c r="Q691" s="479" t="s">
        <v>431</v>
      </c>
      <c r="R691" s="480" t="s">
        <v>431</v>
      </c>
      <c r="S691" s="477"/>
      <c r="T691" s="481" t="s">
        <v>3885</v>
      </c>
      <c r="U691" s="482"/>
      <c r="V691" s="482"/>
      <c r="W691" s="483"/>
      <c r="X691" s="482"/>
      <c r="Y691" s="482"/>
      <c r="Z691" s="482"/>
      <c r="AA691" s="482"/>
      <c r="AB691" s="482"/>
      <c r="AC691" s="482"/>
      <c r="AD691" s="482"/>
      <c r="AE691" s="482"/>
      <c r="AF691" s="482"/>
      <c r="AG691" s="482"/>
      <c r="AH691" s="482"/>
      <c r="AI691" s="482"/>
      <c r="AJ691" s="482"/>
      <c r="AK691" s="482"/>
      <c r="AL691" s="482"/>
      <c r="AM691" s="482"/>
      <c r="AN691" s="482"/>
      <c r="AO691" s="482"/>
      <c r="AP691" s="482"/>
      <c r="AQ691" s="482"/>
      <c r="AR691" s="482"/>
      <c r="AS691" s="482"/>
      <c r="AT691" s="482"/>
      <c r="AU691" s="482"/>
      <c r="AV691" s="482"/>
      <c r="AW691" s="482"/>
      <c r="AX691" s="482"/>
      <c r="AY691" s="486" t="str">
        <f t="shared" si="42"/>
        <v/>
      </c>
      <c r="AZ691" s="487" t="str">
        <f t="shared" si="43"/>
        <v/>
      </c>
      <c r="BA691" s="482"/>
      <c r="BB691" s="482"/>
      <c r="BC691" s="482"/>
      <c r="BD691" s="482"/>
      <c r="BE691" s="482"/>
      <c r="BF691" s="482"/>
      <c r="BG691" s="482"/>
      <c r="BH691" s="482"/>
      <c r="BI691" s="482"/>
      <c r="BJ691" s="482"/>
      <c r="BK691" s="482"/>
      <c r="BL691" s="482"/>
      <c r="BM691" s="482"/>
      <c r="BN691" s="482"/>
      <c r="BO691" s="482"/>
      <c r="BP691" s="482"/>
      <c r="BQ691" s="482"/>
      <c r="BR691" s="482"/>
      <c r="BS691" s="482"/>
      <c r="BT691" s="482"/>
      <c r="BU691" s="482"/>
      <c r="BV691" s="482"/>
      <c r="BW691" s="482"/>
      <c r="BX691" s="482"/>
      <c r="BY691" s="482"/>
      <c r="BZ691" s="482"/>
      <c r="CA691" s="482"/>
      <c r="CB691" s="482"/>
      <c r="CC691" s="482"/>
      <c r="CD691" s="482"/>
      <c r="CE691" s="482"/>
      <c r="CF691" s="482"/>
      <c r="CG691" s="482"/>
      <c r="CH691" s="484"/>
    </row>
    <row r="692" spans="1:86" s="461" customFormat="1" ht="12" x14ac:dyDescent="0.15">
      <c r="A692" s="522" t="s">
        <v>3903</v>
      </c>
      <c r="B692" s="467">
        <v>42560</v>
      </c>
      <c r="C692" s="468" t="s">
        <v>3904</v>
      </c>
      <c r="D692" s="468" t="s">
        <v>3905</v>
      </c>
      <c r="E692" s="468" t="s">
        <v>3698</v>
      </c>
      <c r="F692" s="468" t="s">
        <v>3686</v>
      </c>
      <c r="G692" s="466">
        <v>7</v>
      </c>
      <c r="H692" s="465">
        <v>8</v>
      </c>
      <c r="I692" s="466"/>
      <c r="J692" s="466"/>
      <c r="K692" s="466">
        <v>10</v>
      </c>
      <c r="L692" s="506">
        <v>6</v>
      </c>
      <c r="M692" s="463">
        <v>14256</v>
      </c>
      <c r="N692" s="468" t="s">
        <v>5184</v>
      </c>
      <c r="O692" s="466">
        <v>8</v>
      </c>
      <c r="P692" s="523">
        <v>-11.75</v>
      </c>
      <c r="Q692" s="462">
        <v>1.1199074074074074E-3</v>
      </c>
      <c r="R692" s="463">
        <v>99</v>
      </c>
      <c r="S692" s="466" t="s">
        <v>625</v>
      </c>
      <c r="T692" s="524"/>
      <c r="W692" s="460"/>
      <c r="AY692" s="486">
        <f t="shared" si="42"/>
        <v>99</v>
      </c>
      <c r="AZ692" s="487" t="str">
        <f t="shared" si="43"/>
        <v/>
      </c>
      <c r="CH692" s="459"/>
    </row>
    <row r="693" spans="1:86" s="461" customFormat="1" ht="12" x14ac:dyDescent="0.15">
      <c r="A693" s="522" t="s">
        <v>4010</v>
      </c>
      <c r="B693" s="467">
        <v>42560</v>
      </c>
      <c r="C693" s="468" t="s">
        <v>4015</v>
      </c>
      <c r="D693" s="468" t="s">
        <v>4016</v>
      </c>
      <c r="E693" s="468" t="s">
        <v>3957</v>
      </c>
      <c r="F693" s="468" t="s">
        <v>3686</v>
      </c>
      <c r="G693" s="466">
        <v>8</v>
      </c>
      <c r="H693" s="465">
        <v>6</v>
      </c>
      <c r="I693" s="466"/>
      <c r="J693" s="466"/>
      <c r="K693" s="466">
        <v>10</v>
      </c>
      <c r="L693" s="506">
        <f>7/2</f>
        <v>3.5</v>
      </c>
      <c r="M693" s="463">
        <v>5363</v>
      </c>
      <c r="N693" s="468" t="s">
        <v>5185</v>
      </c>
      <c r="O693" s="466">
        <v>5</v>
      </c>
      <c r="P693" s="523">
        <v>-1.75</v>
      </c>
      <c r="Q693" s="462">
        <v>8.2453703703703714E-4</v>
      </c>
      <c r="R693" s="463">
        <v>99</v>
      </c>
      <c r="S693" s="466" t="s">
        <v>625</v>
      </c>
      <c r="T693" s="524" t="s">
        <v>3755</v>
      </c>
      <c r="W693" s="460"/>
      <c r="AY693" s="486">
        <f t="shared" si="42"/>
        <v>99</v>
      </c>
      <c r="AZ693" s="487" t="str">
        <f t="shared" si="43"/>
        <v/>
      </c>
      <c r="CH693" s="459"/>
    </row>
    <row r="694" spans="1:86" s="469" customFormat="1" ht="12" customHeight="1" x14ac:dyDescent="0.15">
      <c r="A694" s="471" t="s">
        <v>4878</v>
      </c>
      <c r="B694" s="472">
        <v>42560</v>
      </c>
      <c r="C694" s="471" t="s">
        <v>4697</v>
      </c>
      <c r="D694" s="471" t="s">
        <v>4520</v>
      </c>
      <c r="E694" s="471" t="s">
        <v>3848</v>
      </c>
      <c r="F694" s="471" t="s">
        <v>3686</v>
      </c>
      <c r="G694" s="473">
        <v>8</v>
      </c>
      <c r="H694" s="474">
        <v>6</v>
      </c>
      <c r="I694" s="475"/>
      <c r="J694" s="475"/>
      <c r="K694" s="473">
        <v>10</v>
      </c>
      <c r="L694" s="458">
        <v>12</v>
      </c>
      <c r="M694" s="476">
        <v>5363</v>
      </c>
      <c r="N694" s="471" t="s">
        <v>5185</v>
      </c>
      <c r="O694" s="477" t="s">
        <v>431</v>
      </c>
      <c r="P694" s="478" t="s">
        <v>431</v>
      </c>
      <c r="Q694" s="479" t="s">
        <v>431</v>
      </c>
      <c r="R694" s="480" t="s">
        <v>431</v>
      </c>
      <c r="S694" s="477" t="s">
        <v>625</v>
      </c>
      <c r="T694" s="481" t="s">
        <v>3885</v>
      </c>
      <c r="U694" s="482"/>
      <c r="V694" s="482"/>
      <c r="W694" s="483"/>
      <c r="X694" s="482"/>
      <c r="Y694" s="482"/>
      <c r="Z694" s="482"/>
      <c r="AA694" s="482"/>
      <c r="AB694" s="482"/>
      <c r="AC694" s="482"/>
      <c r="AD694" s="482"/>
      <c r="AE694" s="482"/>
      <c r="AF694" s="482"/>
      <c r="AG694" s="482"/>
      <c r="AH694" s="482"/>
      <c r="AI694" s="482"/>
      <c r="AJ694" s="482"/>
      <c r="AK694" s="482"/>
      <c r="AL694" s="482"/>
      <c r="AM694" s="482"/>
      <c r="AN694" s="482"/>
      <c r="AO694" s="482"/>
      <c r="AP694" s="482"/>
      <c r="AQ694" s="482"/>
      <c r="AR694" s="482"/>
      <c r="AS694" s="482"/>
      <c r="AT694" s="482"/>
      <c r="AU694" s="482"/>
      <c r="AV694" s="482"/>
      <c r="AW694" s="482"/>
      <c r="AX694" s="482"/>
      <c r="AY694" s="486" t="str">
        <f t="shared" si="42"/>
        <v>--</v>
      </c>
      <c r="AZ694" s="487" t="str">
        <f t="shared" si="43"/>
        <v/>
      </c>
      <c r="BA694" s="482"/>
      <c r="BB694" s="482"/>
      <c r="BC694" s="482"/>
      <c r="BD694" s="482"/>
      <c r="BE694" s="482"/>
      <c r="BF694" s="482"/>
      <c r="BG694" s="482"/>
      <c r="BH694" s="482"/>
      <c r="BI694" s="482"/>
      <c r="BJ694" s="482"/>
      <c r="BK694" s="482"/>
      <c r="BL694" s="482"/>
      <c r="BM694" s="482"/>
      <c r="BN694" s="482"/>
      <c r="BO694" s="482"/>
      <c r="BP694" s="482"/>
      <c r="BQ694" s="482"/>
      <c r="BR694" s="482"/>
      <c r="BS694" s="482"/>
      <c r="BT694" s="482"/>
      <c r="BU694" s="482"/>
      <c r="BV694" s="482"/>
      <c r="BW694" s="482"/>
      <c r="BX694" s="482"/>
      <c r="BY694" s="482"/>
      <c r="BZ694" s="482"/>
      <c r="CA694" s="482"/>
      <c r="CB694" s="482"/>
      <c r="CC694" s="482"/>
      <c r="CD694" s="482"/>
      <c r="CE694" s="482"/>
      <c r="CF694" s="482"/>
      <c r="CG694" s="482"/>
      <c r="CH694" s="484"/>
    </row>
    <row r="695" spans="1:86" s="461" customFormat="1" ht="12" customHeight="1" x14ac:dyDescent="0.15">
      <c r="A695" s="522" t="s">
        <v>3470</v>
      </c>
      <c r="B695" s="467">
        <v>42560</v>
      </c>
      <c r="C695" s="468" t="s">
        <v>5034</v>
      </c>
      <c r="D695" s="468" t="s">
        <v>3472</v>
      </c>
      <c r="E695" s="468" t="s">
        <v>3683</v>
      </c>
      <c r="F695" s="468" t="s">
        <v>3686</v>
      </c>
      <c r="G695" s="466">
        <v>9</v>
      </c>
      <c r="H695" s="465">
        <v>5.5</v>
      </c>
      <c r="I695" s="466"/>
      <c r="J695" s="466"/>
      <c r="K695" s="466">
        <v>14</v>
      </c>
      <c r="L695" s="525">
        <v>4</v>
      </c>
      <c r="M695" s="463">
        <v>4537</v>
      </c>
      <c r="N695" s="468" t="s">
        <v>5129</v>
      </c>
      <c r="O695" s="466">
        <v>5</v>
      </c>
      <c r="P695" s="523">
        <v>-4.75</v>
      </c>
      <c r="Q695" s="462">
        <v>7.5601851851851861E-4</v>
      </c>
      <c r="R695" s="463">
        <v>181</v>
      </c>
      <c r="S695" s="466" t="s">
        <v>625</v>
      </c>
      <c r="T695" s="524"/>
      <c r="W695" s="460"/>
      <c r="AY695" s="486">
        <f t="shared" si="42"/>
        <v>181</v>
      </c>
      <c r="AZ695" s="487" t="str">
        <f t="shared" si="43"/>
        <v/>
      </c>
      <c r="CH695" s="459"/>
    </row>
    <row r="696" spans="1:86" s="461" customFormat="1" ht="12" x14ac:dyDescent="0.15">
      <c r="A696" s="522" t="s">
        <v>3176</v>
      </c>
      <c r="B696" s="467">
        <v>42560</v>
      </c>
      <c r="C696" s="468" t="s">
        <v>5199</v>
      </c>
      <c r="D696" s="468" t="s">
        <v>4403</v>
      </c>
      <c r="E696" s="468" t="s">
        <v>66</v>
      </c>
      <c r="F696" s="468" t="s">
        <v>2376</v>
      </c>
      <c r="G696" s="466">
        <v>3</v>
      </c>
      <c r="H696" s="465">
        <v>6</v>
      </c>
      <c r="I696" s="466"/>
      <c r="J696" s="466"/>
      <c r="K696" s="466">
        <v>10</v>
      </c>
      <c r="L696" s="506">
        <v>15</v>
      </c>
      <c r="M696" s="463">
        <v>33300</v>
      </c>
      <c r="N696" s="468" t="s">
        <v>4211</v>
      </c>
      <c r="O696" s="466">
        <v>8</v>
      </c>
      <c r="P696" s="523">
        <v>-20.25</v>
      </c>
      <c r="Q696" s="462">
        <v>8.3657407407407422E-4</v>
      </c>
      <c r="R696" s="463">
        <v>0</v>
      </c>
      <c r="S696" s="466"/>
      <c r="T696" s="524"/>
      <c r="W696" s="460"/>
      <c r="AY696" s="486" t="str">
        <f t="shared" si="42"/>
        <v/>
      </c>
      <c r="AZ696" s="487" t="str">
        <f t="shared" si="43"/>
        <v/>
      </c>
      <c r="CH696" s="459"/>
    </row>
    <row r="697" spans="1:86" s="461" customFormat="1" ht="12" x14ac:dyDescent="0.15">
      <c r="A697" s="522" t="s">
        <v>1783</v>
      </c>
      <c r="B697" s="467">
        <v>42561</v>
      </c>
      <c r="C697" s="468" t="s">
        <v>5222</v>
      </c>
      <c r="D697" s="468" t="s">
        <v>4872</v>
      </c>
      <c r="E697" s="468" t="s">
        <v>4675</v>
      </c>
      <c r="F697" s="468" t="s">
        <v>5223</v>
      </c>
      <c r="G697" s="466">
        <v>7</v>
      </c>
      <c r="H697" s="465">
        <v>8</v>
      </c>
      <c r="I697" s="466"/>
      <c r="J697" s="466"/>
      <c r="K697" s="466">
        <v>8</v>
      </c>
      <c r="L697" s="464" t="s">
        <v>431</v>
      </c>
      <c r="M697" s="463">
        <v>390</v>
      </c>
      <c r="N697" s="468" t="s">
        <v>5224</v>
      </c>
      <c r="O697" s="466">
        <v>6</v>
      </c>
      <c r="P697" s="523">
        <v>-12</v>
      </c>
      <c r="Q697" s="462">
        <v>1.2275462962962962E-3</v>
      </c>
      <c r="R697" s="463">
        <v>0</v>
      </c>
      <c r="S697" s="466"/>
      <c r="T697" s="524"/>
      <c r="W697" s="460"/>
      <c r="AY697" s="486" t="str">
        <f t="shared" si="42"/>
        <v/>
      </c>
      <c r="AZ697" s="487" t="str">
        <f t="shared" si="43"/>
        <v/>
      </c>
      <c r="CH697" s="459"/>
    </row>
    <row r="698" spans="1:86" s="461" customFormat="1" ht="12" customHeight="1" x14ac:dyDescent="0.15">
      <c r="A698" s="522" t="s">
        <v>4206</v>
      </c>
      <c r="B698" s="467">
        <v>42561</v>
      </c>
      <c r="C698" s="468" t="s">
        <v>3951</v>
      </c>
      <c r="D698" s="468" t="s">
        <v>4207</v>
      </c>
      <c r="E698" s="468" t="s">
        <v>5195</v>
      </c>
      <c r="F698" s="468" t="s">
        <v>4070</v>
      </c>
      <c r="G698" s="466">
        <v>1</v>
      </c>
      <c r="H698" s="465">
        <v>3.5</v>
      </c>
      <c r="I698" s="466"/>
      <c r="J698" s="466" t="s">
        <v>960</v>
      </c>
      <c r="K698" s="466">
        <v>7</v>
      </c>
      <c r="L698" s="506">
        <v>8</v>
      </c>
      <c r="M698" s="463">
        <v>1270</v>
      </c>
      <c r="N698" s="468" t="s">
        <v>5185</v>
      </c>
      <c r="O698" s="466">
        <v>5</v>
      </c>
      <c r="P698" s="523">
        <v>-7.5</v>
      </c>
      <c r="Q698" s="462">
        <v>4.8935185185185182E-4</v>
      </c>
      <c r="R698" s="463">
        <v>30</v>
      </c>
      <c r="S698" s="466" t="s">
        <v>625</v>
      </c>
      <c r="T698" s="524"/>
      <c r="W698" s="460"/>
      <c r="AY698" s="486">
        <f t="shared" si="42"/>
        <v>30</v>
      </c>
      <c r="AZ698" s="487" t="str">
        <f t="shared" si="43"/>
        <v/>
      </c>
      <c r="CH698" s="459"/>
    </row>
    <row r="699" spans="1:86" s="461" customFormat="1" ht="12" customHeight="1" x14ac:dyDescent="0.15">
      <c r="A699" s="522" t="s">
        <v>5186</v>
      </c>
      <c r="B699" s="467">
        <v>42561</v>
      </c>
      <c r="C699" s="468" t="s">
        <v>5187</v>
      </c>
      <c r="D699" s="468" t="s">
        <v>5188</v>
      </c>
      <c r="E699" s="468" t="s">
        <v>5196</v>
      </c>
      <c r="F699" s="468" t="s">
        <v>3685</v>
      </c>
      <c r="G699" s="466">
        <v>2</v>
      </c>
      <c r="H699" s="465">
        <v>5</v>
      </c>
      <c r="I699" s="466"/>
      <c r="J699" s="466"/>
      <c r="K699" s="466">
        <v>10</v>
      </c>
      <c r="L699" s="506">
        <v>10</v>
      </c>
      <c r="M699" s="463">
        <v>4168</v>
      </c>
      <c r="N699" s="468" t="s">
        <v>3348</v>
      </c>
      <c r="O699" s="466">
        <v>10</v>
      </c>
      <c r="P699" s="523">
        <v>-14.75</v>
      </c>
      <c r="Q699" s="462">
        <v>7.1018518518518512E-4</v>
      </c>
      <c r="R699" s="463">
        <v>65</v>
      </c>
      <c r="S699" s="466" t="s">
        <v>625</v>
      </c>
      <c r="T699" s="524"/>
      <c r="W699" s="460"/>
      <c r="AY699" s="486">
        <f t="shared" si="42"/>
        <v>65</v>
      </c>
      <c r="AZ699" s="487" t="str">
        <f t="shared" si="43"/>
        <v/>
      </c>
      <c r="CH699" s="459"/>
    </row>
    <row r="700" spans="1:86" s="461" customFormat="1" ht="12" customHeight="1" x14ac:dyDescent="0.15">
      <c r="A700" s="522" t="s">
        <v>3339</v>
      </c>
      <c r="B700" s="467">
        <v>42561</v>
      </c>
      <c r="C700" s="468" t="s">
        <v>3704</v>
      </c>
      <c r="D700" s="468" t="s">
        <v>3705</v>
      </c>
      <c r="E700" s="468" t="s">
        <v>3786</v>
      </c>
      <c r="F700" s="468" t="s">
        <v>4171</v>
      </c>
      <c r="G700" s="466">
        <v>4</v>
      </c>
      <c r="H700" s="465">
        <v>8</v>
      </c>
      <c r="I700" s="466"/>
      <c r="J700" s="466"/>
      <c r="K700" s="466">
        <v>5</v>
      </c>
      <c r="L700" s="525">
        <v>8</v>
      </c>
      <c r="M700" s="463">
        <v>30000</v>
      </c>
      <c r="N700" s="468" t="s">
        <v>4598</v>
      </c>
      <c r="O700" s="466">
        <v>2</v>
      </c>
      <c r="P700" s="523">
        <v>-4.25</v>
      </c>
      <c r="Q700" s="462">
        <v>1.1348379629629631E-3</v>
      </c>
      <c r="R700" s="463">
        <v>8400</v>
      </c>
      <c r="S700" s="466"/>
      <c r="T700" s="524"/>
      <c r="W700" s="460"/>
      <c r="AY700" s="486" t="str">
        <f t="shared" si="42"/>
        <v/>
      </c>
      <c r="AZ700" s="487" t="str">
        <f t="shared" si="43"/>
        <v/>
      </c>
      <c r="CH700" s="459"/>
    </row>
    <row r="701" spans="1:86" s="461" customFormat="1" ht="12" customHeight="1" x14ac:dyDescent="0.15">
      <c r="A701" s="522" t="s">
        <v>1831</v>
      </c>
      <c r="B701" s="467">
        <v>42561</v>
      </c>
      <c r="C701" s="468" t="s">
        <v>4975</v>
      </c>
      <c r="D701" s="468" t="s">
        <v>4968</v>
      </c>
      <c r="E701" s="468" t="s">
        <v>5191</v>
      </c>
      <c r="F701" s="468" t="s">
        <v>4171</v>
      </c>
      <c r="G701" s="466">
        <v>5</v>
      </c>
      <c r="H701" s="465">
        <v>8.3000000000000007</v>
      </c>
      <c r="I701" s="466"/>
      <c r="J701" s="466"/>
      <c r="K701" s="466">
        <v>7</v>
      </c>
      <c r="L701" s="525">
        <f>5/2</f>
        <v>2.5</v>
      </c>
      <c r="M701" s="463">
        <v>19000</v>
      </c>
      <c r="N701" s="468" t="s">
        <v>197</v>
      </c>
      <c r="O701" s="466">
        <v>2</v>
      </c>
      <c r="P701" s="523">
        <v>-0.75</v>
      </c>
      <c r="Q701" s="462">
        <v>1.1795138888888888E-3</v>
      </c>
      <c r="R701" s="463">
        <v>5320</v>
      </c>
      <c r="S701" s="466"/>
      <c r="T701" s="524" t="s">
        <v>3714</v>
      </c>
      <c r="W701" s="460"/>
      <c r="AY701" s="486" t="str">
        <f t="shared" si="42"/>
        <v/>
      </c>
      <c r="AZ701" s="487" t="str">
        <f t="shared" si="43"/>
        <v/>
      </c>
      <c r="CH701" s="459"/>
    </row>
    <row r="702" spans="1:86" s="461" customFormat="1" ht="12" x14ac:dyDescent="0.15">
      <c r="A702" s="522" t="s">
        <v>4758</v>
      </c>
      <c r="B702" s="467">
        <v>42561</v>
      </c>
      <c r="C702" s="468" t="s">
        <v>2723</v>
      </c>
      <c r="D702" s="468" t="s">
        <v>5106</v>
      </c>
      <c r="E702" s="468" t="s">
        <v>5107</v>
      </c>
      <c r="F702" s="468" t="s">
        <v>3685</v>
      </c>
      <c r="G702" s="466">
        <v>9</v>
      </c>
      <c r="H702" s="465">
        <v>6.5</v>
      </c>
      <c r="I702" s="466"/>
      <c r="J702" s="466"/>
      <c r="K702" s="466">
        <v>14</v>
      </c>
      <c r="L702" s="506">
        <v>4</v>
      </c>
      <c r="M702" s="463">
        <v>2777</v>
      </c>
      <c r="N702" s="468" t="s">
        <v>5185</v>
      </c>
      <c r="O702" s="466">
        <v>3</v>
      </c>
      <c r="P702" s="523">
        <v>-2.75</v>
      </c>
      <c r="Q702" s="462">
        <v>9.2453703703703697E-4</v>
      </c>
      <c r="R702" s="463">
        <v>359</v>
      </c>
      <c r="S702" s="466" t="s">
        <v>625</v>
      </c>
      <c r="T702" s="524"/>
      <c r="W702" s="460"/>
      <c r="AY702" s="486">
        <f t="shared" si="42"/>
        <v>359</v>
      </c>
      <c r="AZ702" s="487" t="str">
        <f t="shared" si="43"/>
        <v/>
      </c>
      <c r="CH702" s="459"/>
    </row>
    <row r="703" spans="1:86" s="461" customFormat="1" ht="12" customHeight="1" x14ac:dyDescent="0.15">
      <c r="A703" s="522" t="s">
        <v>3426</v>
      </c>
      <c r="B703" s="467">
        <v>42561</v>
      </c>
      <c r="C703" s="468" t="s">
        <v>3655</v>
      </c>
      <c r="D703" s="468" t="s">
        <v>3298</v>
      </c>
      <c r="E703" s="468" t="s">
        <v>3699</v>
      </c>
      <c r="F703" s="468" t="s">
        <v>3685</v>
      </c>
      <c r="G703" s="466">
        <v>9</v>
      </c>
      <c r="H703" s="465">
        <v>6.5</v>
      </c>
      <c r="I703" s="466"/>
      <c r="J703" s="466"/>
      <c r="K703" s="466">
        <v>14</v>
      </c>
      <c r="L703" s="506">
        <v>3</v>
      </c>
      <c r="M703" s="463">
        <v>2777</v>
      </c>
      <c r="N703" s="468" t="s">
        <v>5185</v>
      </c>
      <c r="O703" s="466">
        <v>9</v>
      </c>
      <c r="P703" s="523">
        <v>-6.5</v>
      </c>
      <c r="Q703" s="462">
        <v>9.2453703703703697E-4</v>
      </c>
      <c r="R703" s="463">
        <v>65</v>
      </c>
      <c r="S703" s="466" t="s">
        <v>625</v>
      </c>
      <c r="T703" s="524" t="s">
        <v>3714</v>
      </c>
      <c r="W703" s="460"/>
      <c r="AY703" s="486">
        <f t="shared" si="42"/>
        <v>65</v>
      </c>
      <c r="AZ703" s="487" t="str">
        <f t="shared" si="43"/>
        <v/>
      </c>
      <c r="CH703" s="459"/>
    </row>
    <row r="704" spans="1:86" s="461" customFormat="1" ht="12" customHeight="1" x14ac:dyDescent="0.15">
      <c r="A704" s="522" t="s">
        <v>3645</v>
      </c>
      <c r="B704" s="467">
        <v>42561</v>
      </c>
      <c r="C704" s="468" t="s">
        <v>5044</v>
      </c>
      <c r="D704" s="468" t="s">
        <v>5045</v>
      </c>
      <c r="E704" s="468" t="s">
        <v>5046</v>
      </c>
      <c r="F704" s="468" t="s">
        <v>4828</v>
      </c>
      <c r="G704" s="466">
        <v>1</v>
      </c>
      <c r="H704" s="465">
        <v>8.3000000000000007</v>
      </c>
      <c r="I704" s="466" t="s">
        <v>1360</v>
      </c>
      <c r="J704" s="466"/>
      <c r="K704" s="466">
        <v>7</v>
      </c>
      <c r="L704" s="506">
        <v>10</v>
      </c>
      <c r="M704" s="463">
        <v>10000</v>
      </c>
      <c r="N704" s="468" t="s">
        <v>5190</v>
      </c>
      <c r="O704" s="466">
        <v>7</v>
      </c>
      <c r="P704" s="523">
        <v>-18</v>
      </c>
      <c r="Q704" s="462">
        <v>1.2410879629629629E-3</v>
      </c>
      <c r="R704" s="463">
        <v>200</v>
      </c>
      <c r="S704" s="466"/>
      <c r="T704" s="524"/>
      <c r="W704" s="460"/>
      <c r="AY704" s="486" t="str">
        <f t="shared" si="42"/>
        <v/>
      </c>
      <c r="AZ704" s="487" t="str">
        <f t="shared" si="43"/>
        <v/>
      </c>
      <c r="CH704" s="459"/>
    </row>
    <row r="705" spans="1:90" s="461" customFormat="1" ht="12" customHeight="1" x14ac:dyDescent="0.15">
      <c r="A705" s="522" t="s">
        <v>2121</v>
      </c>
      <c r="B705" s="467">
        <v>42562</v>
      </c>
      <c r="C705" s="468" t="s">
        <v>5015</v>
      </c>
      <c r="D705" s="468" t="s">
        <v>5016</v>
      </c>
      <c r="E705" s="468" t="s">
        <v>5017</v>
      </c>
      <c r="F705" s="468" t="s">
        <v>4171</v>
      </c>
      <c r="G705" s="466">
        <v>1</v>
      </c>
      <c r="H705" s="465">
        <v>5.5</v>
      </c>
      <c r="I705" s="466"/>
      <c r="J705" s="466"/>
      <c r="K705" s="466">
        <v>7</v>
      </c>
      <c r="L705" s="506">
        <v>4</v>
      </c>
      <c r="M705" s="463">
        <v>18000</v>
      </c>
      <c r="N705" s="468" t="s">
        <v>5014</v>
      </c>
      <c r="O705" s="466">
        <v>4</v>
      </c>
      <c r="P705" s="523">
        <v>-5.5</v>
      </c>
      <c r="Q705" s="462">
        <v>7.4768518518518511E-4</v>
      </c>
      <c r="R705" s="463">
        <v>1080</v>
      </c>
      <c r="S705" s="466"/>
      <c r="T705" s="524"/>
      <c r="W705" s="460"/>
      <c r="AY705" s="486" t="str">
        <f t="shared" si="42"/>
        <v/>
      </c>
      <c r="AZ705" s="487" t="str">
        <f t="shared" si="43"/>
        <v/>
      </c>
      <c r="CH705" s="459"/>
    </row>
    <row r="706" spans="1:90" s="469" customFormat="1" ht="12" customHeight="1" x14ac:dyDescent="0.15">
      <c r="A706" s="444" t="s">
        <v>57</v>
      </c>
      <c r="B706" s="445">
        <v>42562</v>
      </c>
      <c r="C706" s="446" t="s">
        <v>4472</v>
      </c>
      <c r="D706" s="446" t="s">
        <v>4300</v>
      </c>
      <c r="E706" s="446" t="s">
        <v>4713</v>
      </c>
      <c r="F706" s="446" t="s">
        <v>881</v>
      </c>
      <c r="G706" s="447">
        <v>5</v>
      </c>
      <c r="H706" s="448">
        <v>5</v>
      </c>
      <c r="I706" s="447" t="s">
        <v>3730</v>
      </c>
      <c r="J706" s="447"/>
      <c r="K706" s="447">
        <v>9</v>
      </c>
      <c r="L706" s="449">
        <v>5</v>
      </c>
      <c r="M706" s="450">
        <v>17000</v>
      </c>
      <c r="N706" s="446" t="s">
        <v>4910</v>
      </c>
      <c r="O706" s="447">
        <v>1</v>
      </c>
      <c r="P706" s="451" t="s">
        <v>4203</v>
      </c>
      <c r="Q706" s="452">
        <v>6.6921296296296303E-4</v>
      </c>
      <c r="R706" s="450">
        <v>10200</v>
      </c>
      <c r="S706" s="447"/>
      <c r="T706" s="453"/>
      <c r="U706" s="454"/>
      <c r="V706" s="454"/>
      <c r="W706" s="455"/>
      <c r="X706" s="454"/>
      <c r="Y706" s="454"/>
      <c r="Z706" s="454"/>
      <c r="AA706" s="454"/>
      <c r="AB706" s="454"/>
      <c r="AC706" s="454"/>
      <c r="AD706" s="454"/>
      <c r="AE706" s="454"/>
      <c r="AF706" s="454"/>
      <c r="AG706" s="454"/>
      <c r="AH706" s="454"/>
      <c r="AI706" s="454"/>
      <c r="AJ706" s="454"/>
      <c r="AK706" s="454"/>
      <c r="AL706" s="454"/>
      <c r="AM706" s="454"/>
      <c r="AN706" s="454"/>
      <c r="AO706" s="454"/>
      <c r="AP706" s="454"/>
      <c r="AQ706" s="454"/>
      <c r="AR706" s="454"/>
      <c r="AS706" s="454"/>
      <c r="AT706" s="454"/>
      <c r="AU706" s="454"/>
      <c r="AV706" s="454"/>
      <c r="AW706" s="454"/>
      <c r="AX706" s="454"/>
      <c r="AY706" s="486" t="str">
        <f t="shared" si="42"/>
        <v/>
      </c>
      <c r="AZ706" s="487">
        <f t="shared" si="43"/>
        <v>1</v>
      </c>
      <c r="BA706" s="454"/>
      <c r="BB706" s="454"/>
      <c r="BC706" s="454"/>
      <c r="BD706" s="454"/>
      <c r="BE706" s="454"/>
      <c r="BF706" s="454"/>
      <c r="BG706" s="454"/>
      <c r="BH706" s="454"/>
      <c r="BI706" s="454"/>
      <c r="BJ706" s="454"/>
      <c r="BK706" s="454"/>
      <c r="BL706" s="454"/>
      <c r="BM706" s="454"/>
      <c r="BN706" s="454"/>
      <c r="BO706" s="454"/>
      <c r="BP706" s="454"/>
      <c r="BQ706" s="454"/>
      <c r="BR706" s="454"/>
      <c r="BS706" s="454"/>
      <c r="BT706" s="454"/>
      <c r="BU706" s="454"/>
      <c r="BV706" s="454"/>
      <c r="BW706" s="454"/>
      <c r="BX706" s="454"/>
      <c r="BY706" s="454"/>
      <c r="BZ706" s="454"/>
      <c r="CA706" s="454"/>
      <c r="CB706" s="454"/>
      <c r="CC706" s="454"/>
      <c r="CD706" s="454"/>
      <c r="CE706" s="454"/>
      <c r="CF706" s="454"/>
      <c r="CG706" s="454"/>
      <c r="CH706" s="456"/>
      <c r="CI706" s="454"/>
      <c r="CJ706" s="454"/>
      <c r="CK706" s="454"/>
      <c r="CL706" s="454"/>
    </row>
    <row r="707" spans="1:90" s="461" customFormat="1" ht="12" customHeight="1" x14ac:dyDescent="0.15">
      <c r="A707" s="522" t="s">
        <v>3266</v>
      </c>
      <c r="B707" s="467">
        <v>42562</v>
      </c>
      <c r="C707" s="468" t="s">
        <v>4333</v>
      </c>
      <c r="D707" s="468" t="s">
        <v>3705</v>
      </c>
      <c r="E707" s="468" t="s">
        <v>3856</v>
      </c>
      <c r="F707" s="468" t="s">
        <v>4171</v>
      </c>
      <c r="G707" s="466">
        <v>8</v>
      </c>
      <c r="H707" s="465">
        <v>5</v>
      </c>
      <c r="I707" s="466" t="s">
        <v>3730</v>
      </c>
      <c r="J707" s="466"/>
      <c r="K707" s="466">
        <v>10</v>
      </c>
      <c r="L707" s="506">
        <f>7/2</f>
        <v>3.5</v>
      </c>
      <c r="M707" s="463">
        <v>52000</v>
      </c>
      <c r="N707" s="468" t="s">
        <v>4296</v>
      </c>
      <c r="O707" s="466">
        <v>6</v>
      </c>
      <c r="P707" s="523">
        <v>-6</v>
      </c>
      <c r="Q707" s="462">
        <v>6.7997685185185186E-4</v>
      </c>
      <c r="R707" s="463">
        <v>500</v>
      </c>
      <c r="S707" s="466"/>
      <c r="T707" s="524"/>
      <c r="W707" s="460"/>
      <c r="AY707" s="486" t="str">
        <f t="shared" si="42"/>
        <v/>
      </c>
      <c r="AZ707" s="487" t="str">
        <f t="shared" si="43"/>
        <v/>
      </c>
      <c r="CH707" s="459"/>
    </row>
    <row r="708" spans="1:90" s="469" customFormat="1" ht="12" customHeight="1" x14ac:dyDescent="0.15">
      <c r="A708" s="471" t="s">
        <v>2343</v>
      </c>
      <c r="B708" s="472">
        <v>42563</v>
      </c>
      <c r="C708" s="471" t="s">
        <v>4767</v>
      </c>
      <c r="D708" s="471" t="s">
        <v>4768</v>
      </c>
      <c r="E708" s="471" t="s">
        <v>4851</v>
      </c>
      <c r="F708" s="471" t="s">
        <v>4171</v>
      </c>
      <c r="G708" s="473">
        <v>1</v>
      </c>
      <c r="H708" s="474">
        <v>16.5</v>
      </c>
      <c r="I708" s="475" t="s">
        <v>3730</v>
      </c>
      <c r="J708" s="475"/>
      <c r="K708" s="473">
        <v>10</v>
      </c>
      <c r="L708" s="458">
        <v>3</v>
      </c>
      <c r="M708" s="476">
        <v>30000</v>
      </c>
      <c r="N708" s="471" t="s">
        <v>4838</v>
      </c>
      <c r="O708" s="477" t="s">
        <v>431</v>
      </c>
      <c r="P708" s="478" t="s">
        <v>431</v>
      </c>
      <c r="Q708" s="479" t="s">
        <v>431</v>
      </c>
      <c r="R708" s="480" t="s">
        <v>431</v>
      </c>
      <c r="S708" s="477"/>
      <c r="T708" s="481" t="s">
        <v>5229</v>
      </c>
      <c r="U708" s="482"/>
      <c r="V708" s="482"/>
      <c r="W708" s="483"/>
      <c r="X708" s="482"/>
      <c r="Y708" s="482"/>
      <c r="Z708" s="482"/>
      <c r="AA708" s="482"/>
      <c r="AB708" s="482"/>
      <c r="AC708" s="482"/>
      <c r="AD708" s="482"/>
      <c r="AE708" s="482"/>
      <c r="AF708" s="482"/>
      <c r="AG708" s="482"/>
      <c r="AH708" s="482"/>
      <c r="AI708" s="482"/>
      <c r="AJ708" s="482"/>
      <c r="AK708" s="482"/>
      <c r="AL708" s="482"/>
      <c r="AM708" s="482"/>
      <c r="AN708" s="482"/>
      <c r="AO708" s="482"/>
      <c r="AP708" s="482"/>
      <c r="AQ708" s="482"/>
      <c r="AR708" s="482"/>
      <c r="AS708" s="482"/>
      <c r="AT708" s="482"/>
      <c r="AU708" s="482"/>
      <c r="AV708" s="482"/>
      <c r="AW708" s="482"/>
      <c r="AX708" s="482"/>
      <c r="AY708" s="486" t="str">
        <f t="shared" si="42"/>
        <v/>
      </c>
      <c r="AZ708" s="487" t="str">
        <f t="shared" si="43"/>
        <v/>
      </c>
      <c r="BA708" s="482"/>
      <c r="BB708" s="482"/>
      <c r="BC708" s="482"/>
      <c r="BD708" s="482"/>
      <c r="BE708" s="482"/>
      <c r="BF708" s="482"/>
      <c r="BG708" s="482"/>
      <c r="BH708" s="482"/>
      <c r="BI708" s="482"/>
      <c r="BJ708" s="482"/>
      <c r="BK708" s="482"/>
      <c r="BL708" s="482"/>
      <c r="BM708" s="482"/>
      <c r="BN708" s="482"/>
      <c r="BO708" s="482"/>
      <c r="BP708" s="482"/>
      <c r="BQ708" s="482"/>
      <c r="BR708" s="482"/>
      <c r="BS708" s="482"/>
      <c r="BT708" s="482"/>
      <c r="BU708" s="482"/>
      <c r="BV708" s="482"/>
      <c r="BW708" s="482"/>
      <c r="BX708" s="482"/>
      <c r="BY708" s="482"/>
      <c r="BZ708" s="482"/>
      <c r="CA708" s="482"/>
      <c r="CB708" s="482"/>
      <c r="CC708" s="482"/>
      <c r="CD708" s="482"/>
      <c r="CE708" s="482"/>
      <c r="CF708" s="482"/>
      <c r="CG708" s="482"/>
      <c r="CH708" s="484"/>
    </row>
    <row r="709" spans="1:90" s="461" customFormat="1" ht="12" customHeight="1" x14ac:dyDescent="0.15">
      <c r="A709" s="522" t="s">
        <v>1710</v>
      </c>
      <c r="B709" s="467">
        <v>42563</v>
      </c>
      <c r="C709" s="468" t="s">
        <v>4789</v>
      </c>
      <c r="D709" s="468" t="s">
        <v>4790</v>
      </c>
      <c r="E709" s="468" t="s">
        <v>5175</v>
      </c>
      <c r="F709" s="468" t="s">
        <v>4171</v>
      </c>
      <c r="G709" s="466">
        <v>5</v>
      </c>
      <c r="H709" s="465">
        <v>8</v>
      </c>
      <c r="I709" s="466"/>
      <c r="J709" s="466"/>
      <c r="K709" s="466">
        <v>10</v>
      </c>
      <c r="L709" s="506">
        <v>6</v>
      </c>
      <c r="M709" s="463">
        <v>20000</v>
      </c>
      <c r="N709" s="468" t="s">
        <v>4924</v>
      </c>
      <c r="O709" s="466">
        <v>6</v>
      </c>
      <c r="P709" s="523">
        <v>-15</v>
      </c>
      <c r="Q709" s="462">
        <v>1.1651620370370373E-3</v>
      </c>
      <c r="R709" s="463">
        <v>250</v>
      </c>
      <c r="S709" s="466"/>
      <c r="T709" s="524"/>
      <c r="W709" s="460"/>
      <c r="AY709" s="486" t="str">
        <f t="shared" si="42"/>
        <v/>
      </c>
      <c r="AZ709" s="487" t="str">
        <f t="shared" si="43"/>
        <v/>
      </c>
      <c r="CH709" s="459"/>
    </row>
    <row r="710" spans="1:90" s="461" customFormat="1" ht="12" customHeight="1" x14ac:dyDescent="0.15">
      <c r="A710" s="522" t="s">
        <v>1670</v>
      </c>
      <c r="B710" s="467">
        <v>42564</v>
      </c>
      <c r="C710" s="468" t="s">
        <v>5102</v>
      </c>
      <c r="D710" s="468" t="s">
        <v>5101</v>
      </c>
      <c r="E710" s="468" t="s">
        <v>5197</v>
      </c>
      <c r="F710" s="468" t="s">
        <v>1828</v>
      </c>
      <c r="G710" s="466">
        <v>2</v>
      </c>
      <c r="H710" s="465">
        <v>4</v>
      </c>
      <c r="I710" s="466"/>
      <c r="J710" s="466"/>
      <c r="K710" s="466">
        <v>9</v>
      </c>
      <c r="L710" s="506">
        <v>8</v>
      </c>
      <c r="M710" s="463">
        <v>15500</v>
      </c>
      <c r="N710" s="468" t="s">
        <v>4636</v>
      </c>
      <c r="O710" s="466">
        <v>4</v>
      </c>
      <c r="P710" s="523">
        <v>-4.25</v>
      </c>
      <c r="Q710" s="462">
        <v>5.5787037037037036E-4</v>
      </c>
      <c r="R710" s="463">
        <v>909</v>
      </c>
      <c r="S710" s="466"/>
      <c r="T710" s="524"/>
      <c r="W710" s="460"/>
      <c r="AY710" s="486" t="str">
        <f t="shared" si="42"/>
        <v/>
      </c>
      <c r="AZ710" s="487" t="str">
        <f t="shared" si="43"/>
        <v/>
      </c>
      <c r="CH710" s="459"/>
    </row>
    <row r="711" spans="1:90" s="461" customFormat="1" ht="12" customHeight="1" x14ac:dyDescent="0.15">
      <c r="A711" s="522" t="s">
        <v>1534</v>
      </c>
      <c r="B711" s="467">
        <v>42564</v>
      </c>
      <c r="C711" s="468" t="s">
        <v>4825</v>
      </c>
      <c r="D711" s="468" t="s">
        <v>4934</v>
      </c>
      <c r="E711" s="468" t="s">
        <v>4819</v>
      </c>
      <c r="F711" s="468" t="s">
        <v>2376</v>
      </c>
      <c r="G711" s="466">
        <v>8</v>
      </c>
      <c r="H711" s="465">
        <v>8.3000000000000007</v>
      </c>
      <c r="I711" s="466"/>
      <c r="J711" s="466"/>
      <c r="K711" s="466">
        <v>8</v>
      </c>
      <c r="L711" s="506">
        <v>5</v>
      </c>
      <c r="M711" s="463">
        <v>11400</v>
      </c>
      <c r="N711" s="468" t="s">
        <v>4935</v>
      </c>
      <c r="O711" s="466">
        <v>8</v>
      </c>
      <c r="P711" s="523">
        <v>-32.25</v>
      </c>
      <c r="Q711" s="462">
        <v>1.2054398148148148E-3</v>
      </c>
      <c r="R711" s="463">
        <v>0</v>
      </c>
      <c r="S711" s="466"/>
      <c r="T711" s="524"/>
      <c r="W711" s="460"/>
      <c r="AY711" s="486" t="str">
        <f t="shared" si="42"/>
        <v/>
      </c>
      <c r="AZ711" s="487" t="str">
        <f t="shared" si="43"/>
        <v/>
      </c>
      <c r="CH711" s="459"/>
    </row>
    <row r="712" spans="1:90" s="461" customFormat="1" ht="12" customHeight="1" x14ac:dyDescent="0.15">
      <c r="A712" s="522" t="s">
        <v>3899</v>
      </c>
      <c r="B712" s="467">
        <v>42565</v>
      </c>
      <c r="C712" s="468" t="s">
        <v>4943</v>
      </c>
      <c r="D712" s="468" t="s">
        <v>4494</v>
      </c>
      <c r="E712" s="468" t="s">
        <v>3893</v>
      </c>
      <c r="F712" s="468" t="s">
        <v>540</v>
      </c>
      <c r="G712" s="466">
        <v>3</v>
      </c>
      <c r="H712" s="465">
        <v>8</v>
      </c>
      <c r="I712" s="466" t="s">
        <v>3730</v>
      </c>
      <c r="J712" s="466"/>
      <c r="K712" s="466">
        <v>9</v>
      </c>
      <c r="L712" s="506">
        <v>4</v>
      </c>
      <c r="M712" s="463">
        <v>27000</v>
      </c>
      <c r="N712" s="468" t="s">
        <v>4945</v>
      </c>
      <c r="O712" s="466">
        <v>7</v>
      </c>
      <c r="P712" s="523">
        <v>-5.75</v>
      </c>
      <c r="Q712" s="462">
        <v>1.1142361111111112E-3</v>
      </c>
      <c r="R712" s="463">
        <v>240</v>
      </c>
      <c r="S712" s="466"/>
      <c r="T712" s="524"/>
      <c r="W712" s="460"/>
      <c r="AY712" s="486" t="str">
        <f t="shared" si="42"/>
        <v/>
      </c>
      <c r="AZ712" s="487" t="str">
        <f t="shared" si="43"/>
        <v/>
      </c>
      <c r="CH712" s="459"/>
    </row>
    <row r="713" spans="1:90" s="461" customFormat="1" ht="12" customHeight="1" x14ac:dyDescent="0.15">
      <c r="A713" s="522" t="s">
        <v>2364</v>
      </c>
      <c r="B713" s="467">
        <v>42565</v>
      </c>
      <c r="C713" s="468" t="s">
        <v>3922</v>
      </c>
      <c r="D713" s="468" t="s">
        <v>3923</v>
      </c>
      <c r="E713" s="468" t="s">
        <v>3924</v>
      </c>
      <c r="F713" s="468" t="s">
        <v>4828</v>
      </c>
      <c r="G713" s="466">
        <v>7</v>
      </c>
      <c r="H713" s="465">
        <v>5.5</v>
      </c>
      <c r="I713" s="466" t="s">
        <v>1360</v>
      </c>
      <c r="J713" s="466"/>
      <c r="K713" s="466">
        <v>8</v>
      </c>
      <c r="L713" s="506">
        <v>5</v>
      </c>
      <c r="M713" s="463">
        <v>17000</v>
      </c>
      <c r="N713" s="468" t="s">
        <v>4766</v>
      </c>
      <c r="O713" s="466">
        <v>2</v>
      </c>
      <c r="P713" s="523">
        <v>-3.75</v>
      </c>
      <c r="Q713" s="462">
        <v>7.4930555555555558E-4</v>
      </c>
      <c r="R713" s="463">
        <v>3400</v>
      </c>
      <c r="S713" s="466"/>
      <c r="T713" s="524"/>
      <c r="W713" s="460"/>
      <c r="AY713" s="486" t="str">
        <f t="shared" si="42"/>
        <v/>
      </c>
      <c r="AZ713" s="487" t="str">
        <f t="shared" si="43"/>
        <v/>
      </c>
      <c r="CH713" s="459"/>
    </row>
    <row r="714" spans="1:90" s="461" customFormat="1" ht="12" customHeight="1" x14ac:dyDescent="0.15">
      <c r="A714" s="522" t="s">
        <v>3099</v>
      </c>
      <c r="B714" s="467">
        <v>42566</v>
      </c>
      <c r="C714" s="468" t="s">
        <v>3293</v>
      </c>
      <c r="D714" s="468" t="s">
        <v>5218</v>
      </c>
      <c r="E714" s="468" t="s">
        <v>3189</v>
      </c>
      <c r="F714" s="468" t="s">
        <v>788</v>
      </c>
      <c r="G714" s="466">
        <v>2</v>
      </c>
      <c r="H714" s="465">
        <v>5</v>
      </c>
      <c r="I714" s="466"/>
      <c r="J714" s="466"/>
      <c r="K714" s="466">
        <v>9</v>
      </c>
      <c r="L714" s="506">
        <v>10</v>
      </c>
      <c r="M714" s="463">
        <v>33000</v>
      </c>
      <c r="N714" s="468" t="s">
        <v>5219</v>
      </c>
      <c r="O714" s="466">
        <v>5</v>
      </c>
      <c r="P714" s="523">
        <v>-17.75</v>
      </c>
      <c r="Q714" s="462">
        <v>6.7962962962962975E-4</v>
      </c>
      <c r="R714" s="463">
        <v>990</v>
      </c>
      <c r="S714" s="466"/>
      <c r="T714" s="524"/>
      <c r="W714" s="460"/>
      <c r="AY714" s="486" t="str">
        <f t="shared" si="42"/>
        <v/>
      </c>
      <c r="AZ714" s="487" t="str">
        <f t="shared" si="43"/>
        <v/>
      </c>
      <c r="CH714" s="459"/>
    </row>
    <row r="715" spans="1:90" s="461" customFormat="1" ht="12" customHeight="1" x14ac:dyDescent="0.15">
      <c r="A715" s="522" t="s">
        <v>2484</v>
      </c>
      <c r="B715" s="467">
        <v>42566</v>
      </c>
      <c r="C715" s="468" t="s">
        <v>5220</v>
      </c>
      <c r="D715" s="468" t="s">
        <v>5217</v>
      </c>
      <c r="E715" s="468" t="s">
        <v>4600</v>
      </c>
      <c r="F715" s="468" t="s">
        <v>788</v>
      </c>
      <c r="G715" s="466">
        <v>2</v>
      </c>
      <c r="H715" s="465">
        <v>5</v>
      </c>
      <c r="I715" s="466"/>
      <c r="J715" s="466"/>
      <c r="K715" s="466">
        <v>9</v>
      </c>
      <c r="L715" s="506">
        <v>6</v>
      </c>
      <c r="M715" s="463">
        <v>33000</v>
      </c>
      <c r="N715" s="468" t="s">
        <v>5219</v>
      </c>
      <c r="O715" s="466">
        <v>6</v>
      </c>
      <c r="P715" s="523">
        <v>-18.25</v>
      </c>
      <c r="Q715" s="462">
        <v>6.7962962962962975E-4</v>
      </c>
      <c r="R715" s="463">
        <v>660</v>
      </c>
      <c r="S715" s="466"/>
      <c r="T715" s="524"/>
      <c r="W715" s="460"/>
      <c r="AY715" s="486" t="str">
        <f t="shared" si="42"/>
        <v/>
      </c>
      <c r="AZ715" s="487" t="str">
        <f t="shared" si="43"/>
        <v/>
      </c>
      <c r="CH715" s="459"/>
    </row>
    <row r="716" spans="1:90" s="461" customFormat="1" ht="12" customHeight="1" x14ac:dyDescent="0.15">
      <c r="A716" s="522" t="s">
        <v>122</v>
      </c>
      <c r="B716" s="467">
        <v>42566</v>
      </c>
      <c r="C716" s="468" t="s">
        <v>4346</v>
      </c>
      <c r="D716" s="468" t="s">
        <v>4347</v>
      </c>
      <c r="E716" s="468" t="s">
        <v>4649</v>
      </c>
      <c r="F716" s="468" t="s">
        <v>1162</v>
      </c>
      <c r="G716" s="466">
        <v>2</v>
      </c>
      <c r="H716" s="465">
        <v>8.5</v>
      </c>
      <c r="I716" s="466" t="s">
        <v>1360</v>
      </c>
      <c r="J716" s="466"/>
      <c r="K716" s="466">
        <v>9</v>
      </c>
      <c r="L716" s="506">
        <v>5</v>
      </c>
      <c r="M716" s="463">
        <v>35000</v>
      </c>
      <c r="N716" s="468" t="s">
        <v>5216</v>
      </c>
      <c r="O716" s="466">
        <v>7</v>
      </c>
      <c r="P716" s="523">
        <v>-14.75</v>
      </c>
      <c r="Q716" s="462">
        <v>1.1790509259259258E-3</v>
      </c>
      <c r="R716" s="463">
        <v>0</v>
      </c>
      <c r="S716" s="466"/>
      <c r="T716" s="524"/>
      <c r="W716" s="460"/>
      <c r="AY716" s="486" t="str">
        <f t="shared" si="42"/>
        <v/>
      </c>
      <c r="AZ716" s="487" t="str">
        <f t="shared" si="43"/>
        <v/>
      </c>
      <c r="CH716" s="459"/>
    </row>
    <row r="717" spans="1:90" s="469" customFormat="1" ht="12" customHeight="1" x14ac:dyDescent="0.15">
      <c r="A717" s="471" t="s">
        <v>1953</v>
      </c>
      <c r="B717" s="472">
        <v>42566</v>
      </c>
      <c r="C717" s="471" t="s">
        <v>4719</v>
      </c>
      <c r="D717" s="471" t="s">
        <v>4860</v>
      </c>
      <c r="E717" s="471" t="s">
        <v>4979</v>
      </c>
      <c r="F717" s="471" t="s">
        <v>788</v>
      </c>
      <c r="G717" s="473">
        <v>5</v>
      </c>
      <c r="H717" s="474">
        <v>8.5</v>
      </c>
      <c r="I717" s="475" t="s">
        <v>3730</v>
      </c>
      <c r="J717" s="475"/>
      <c r="K717" s="473">
        <v>12</v>
      </c>
      <c r="L717" s="458">
        <v>5</v>
      </c>
      <c r="M717" s="476">
        <v>22000</v>
      </c>
      <c r="N717" s="471" t="s">
        <v>4720</v>
      </c>
      <c r="O717" s="477" t="s">
        <v>431</v>
      </c>
      <c r="P717" s="478" t="s">
        <v>431</v>
      </c>
      <c r="Q717" s="479" t="s">
        <v>431</v>
      </c>
      <c r="R717" s="480" t="s">
        <v>431</v>
      </c>
      <c r="S717" s="477"/>
      <c r="T717" s="481" t="s">
        <v>3885</v>
      </c>
      <c r="U717" s="482"/>
      <c r="V717" s="482"/>
      <c r="W717" s="483"/>
      <c r="X717" s="482"/>
      <c r="Y717" s="482"/>
      <c r="Z717" s="482"/>
      <c r="AA717" s="482"/>
      <c r="AB717" s="482"/>
      <c r="AC717" s="482"/>
      <c r="AD717" s="482"/>
      <c r="AE717" s="482"/>
      <c r="AF717" s="482"/>
      <c r="AG717" s="482"/>
      <c r="AH717" s="482"/>
      <c r="AI717" s="482"/>
      <c r="AJ717" s="482"/>
      <c r="AK717" s="482"/>
      <c r="AL717" s="482"/>
      <c r="AM717" s="482"/>
      <c r="AN717" s="482"/>
      <c r="AO717" s="482"/>
      <c r="AP717" s="482"/>
      <c r="AQ717" s="482"/>
      <c r="AR717" s="482"/>
      <c r="AS717" s="482"/>
      <c r="AT717" s="482"/>
      <c r="AU717" s="482"/>
      <c r="AV717" s="482"/>
      <c r="AW717" s="482"/>
      <c r="AX717" s="482"/>
      <c r="AY717" s="486" t="str">
        <f t="shared" si="42"/>
        <v/>
      </c>
      <c r="AZ717" s="487" t="str">
        <f t="shared" si="43"/>
        <v/>
      </c>
      <c r="BA717" s="482"/>
      <c r="BB717" s="482"/>
      <c r="BC717" s="482"/>
      <c r="BD717" s="482"/>
      <c r="BE717" s="482"/>
      <c r="BF717" s="482"/>
      <c r="BG717" s="482"/>
      <c r="BH717" s="482"/>
      <c r="BI717" s="482"/>
      <c r="BJ717" s="482"/>
      <c r="BK717" s="482"/>
      <c r="BL717" s="482"/>
      <c r="BM717" s="482"/>
      <c r="BN717" s="482"/>
      <c r="BO717" s="482"/>
      <c r="BP717" s="482"/>
      <c r="BQ717" s="482"/>
      <c r="BR717" s="482"/>
      <c r="BS717" s="482"/>
      <c r="BT717" s="482"/>
      <c r="BU717" s="482"/>
      <c r="BV717" s="482"/>
      <c r="BW717" s="482"/>
      <c r="BX717" s="482"/>
      <c r="BY717" s="482"/>
      <c r="BZ717" s="482"/>
      <c r="CA717" s="482"/>
      <c r="CB717" s="482"/>
      <c r="CC717" s="482"/>
      <c r="CD717" s="482"/>
      <c r="CE717" s="482"/>
      <c r="CF717" s="482"/>
      <c r="CG717" s="482"/>
      <c r="CH717" s="484"/>
    </row>
    <row r="718" spans="1:90" s="461" customFormat="1" ht="12" customHeight="1" x14ac:dyDescent="0.15">
      <c r="A718" s="522" t="s">
        <v>121</v>
      </c>
      <c r="B718" s="467">
        <v>42566</v>
      </c>
      <c r="C718" s="468" t="s">
        <v>4959</v>
      </c>
      <c r="D718" s="468" t="s">
        <v>4970</v>
      </c>
      <c r="E718" s="468" t="s">
        <v>4980</v>
      </c>
      <c r="F718" s="468" t="s">
        <v>1162</v>
      </c>
      <c r="G718" s="466">
        <v>5</v>
      </c>
      <c r="H718" s="465">
        <v>8.5</v>
      </c>
      <c r="I718" s="466" t="s">
        <v>3730</v>
      </c>
      <c r="J718" s="466"/>
      <c r="K718" s="466">
        <v>7</v>
      </c>
      <c r="L718" s="506">
        <v>12</v>
      </c>
      <c r="M718" s="463">
        <v>10500</v>
      </c>
      <c r="N718" s="468" t="s">
        <v>4924</v>
      </c>
      <c r="O718" s="466">
        <v>7</v>
      </c>
      <c r="P718" s="523">
        <v>-13.75</v>
      </c>
      <c r="Q718" s="462">
        <v>1.3366898148148149E-3</v>
      </c>
      <c r="R718" s="463">
        <v>0</v>
      </c>
      <c r="S718" s="466"/>
      <c r="T718" s="524"/>
      <c r="W718" s="460"/>
      <c r="AY718" s="486" t="str">
        <f t="shared" si="42"/>
        <v/>
      </c>
      <c r="AZ718" s="487" t="str">
        <f t="shared" si="43"/>
        <v/>
      </c>
      <c r="CH718" s="459"/>
    </row>
    <row r="719" spans="1:90" s="469" customFormat="1" ht="12" customHeight="1" x14ac:dyDescent="0.15">
      <c r="A719" s="444" t="s">
        <v>2151</v>
      </c>
      <c r="B719" s="445">
        <v>42566</v>
      </c>
      <c r="C719" s="446" t="s">
        <v>3852</v>
      </c>
      <c r="D719" s="446" t="s">
        <v>5231</v>
      </c>
      <c r="E719" s="446" t="s">
        <v>4628</v>
      </c>
      <c r="F719" s="446" t="s">
        <v>2376</v>
      </c>
      <c r="G719" s="447">
        <v>4</v>
      </c>
      <c r="H719" s="448">
        <v>8.5</v>
      </c>
      <c r="I719" s="447"/>
      <c r="J719" s="447"/>
      <c r="K719" s="447">
        <v>5</v>
      </c>
      <c r="L719" s="449">
        <v>8</v>
      </c>
      <c r="M719" s="450">
        <v>33300</v>
      </c>
      <c r="N719" s="446" t="s">
        <v>4578</v>
      </c>
      <c r="O719" s="447">
        <v>1</v>
      </c>
      <c r="P719" s="451">
        <v>0.75</v>
      </c>
      <c r="Q719" s="452">
        <v>1.2304398148148149E-3</v>
      </c>
      <c r="R719" s="450">
        <v>19980</v>
      </c>
      <c r="S719" s="447"/>
      <c r="T719" s="453" t="s">
        <v>5263</v>
      </c>
      <c r="U719" s="454"/>
      <c r="V719" s="454"/>
      <c r="W719" s="455"/>
      <c r="X719" s="454"/>
      <c r="Y719" s="454"/>
      <c r="Z719" s="454"/>
      <c r="AA719" s="454"/>
      <c r="AB719" s="454"/>
      <c r="AC719" s="454"/>
      <c r="AD719" s="454"/>
      <c r="AE719" s="454"/>
      <c r="AF719" s="454"/>
      <c r="AG719" s="454"/>
      <c r="AH719" s="454"/>
      <c r="AI719" s="454"/>
      <c r="AJ719" s="454"/>
      <c r="AK719" s="454"/>
      <c r="AL719" s="454"/>
      <c r="AM719" s="454"/>
      <c r="AN719" s="454"/>
      <c r="AO719" s="454"/>
      <c r="AP719" s="454"/>
      <c r="AQ719" s="454"/>
      <c r="AR719" s="454"/>
      <c r="AS719" s="454"/>
      <c r="AT719" s="454"/>
      <c r="AU719" s="454"/>
      <c r="AV719" s="454"/>
      <c r="AW719" s="454"/>
      <c r="AX719" s="454"/>
      <c r="AY719" s="486" t="str">
        <f t="shared" si="42"/>
        <v/>
      </c>
      <c r="AZ719" s="487">
        <f t="shared" si="43"/>
        <v>1</v>
      </c>
      <c r="BA719" s="454"/>
      <c r="BB719" s="454"/>
      <c r="BC719" s="454"/>
      <c r="BD719" s="454"/>
      <c r="BE719" s="454"/>
      <c r="BF719" s="454"/>
      <c r="BG719" s="454"/>
      <c r="BH719" s="454"/>
      <c r="BI719" s="454"/>
      <c r="BJ719" s="454"/>
      <c r="BK719" s="454"/>
      <c r="BL719" s="454"/>
      <c r="BM719" s="454"/>
      <c r="BN719" s="454"/>
      <c r="BO719" s="454"/>
      <c r="BP719" s="454"/>
      <c r="BQ719" s="454"/>
      <c r="BR719" s="454"/>
      <c r="BS719" s="454"/>
      <c r="BT719" s="454"/>
      <c r="BU719" s="454"/>
      <c r="BV719" s="454"/>
      <c r="BW719" s="454"/>
      <c r="BX719" s="454"/>
      <c r="BY719" s="454"/>
      <c r="BZ719" s="454"/>
      <c r="CA719" s="454"/>
      <c r="CB719" s="454"/>
      <c r="CC719" s="454"/>
      <c r="CD719" s="454"/>
      <c r="CE719" s="454"/>
      <c r="CF719" s="454"/>
      <c r="CG719" s="454"/>
      <c r="CH719" s="456"/>
      <c r="CI719" s="454"/>
      <c r="CJ719" s="454"/>
      <c r="CK719" s="454"/>
      <c r="CL719" s="454"/>
    </row>
    <row r="720" spans="1:90" s="469" customFormat="1" ht="12" customHeight="1" x14ac:dyDescent="0.15">
      <c r="A720" s="471" t="s">
        <v>4879</v>
      </c>
      <c r="B720" s="472">
        <v>42567</v>
      </c>
      <c r="C720" s="471" t="s">
        <v>4519</v>
      </c>
      <c r="D720" s="471" t="s">
        <v>4520</v>
      </c>
      <c r="E720" s="471" t="s">
        <v>5261</v>
      </c>
      <c r="F720" s="471" t="s">
        <v>3686</v>
      </c>
      <c r="G720" s="473">
        <v>6</v>
      </c>
      <c r="H720" s="474">
        <v>6.5</v>
      </c>
      <c r="I720" s="475"/>
      <c r="J720" s="475"/>
      <c r="K720" s="473">
        <v>12</v>
      </c>
      <c r="L720" s="458">
        <v>4</v>
      </c>
      <c r="M720" s="476">
        <v>5590</v>
      </c>
      <c r="N720" s="471" t="s">
        <v>3739</v>
      </c>
      <c r="O720" s="477" t="s">
        <v>431</v>
      </c>
      <c r="P720" s="478" t="s">
        <v>431</v>
      </c>
      <c r="Q720" s="479" t="s">
        <v>431</v>
      </c>
      <c r="R720" s="480" t="s">
        <v>431</v>
      </c>
      <c r="S720" s="477" t="s">
        <v>625</v>
      </c>
      <c r="T720" s="481" t="s">
        <v>5267</v>
      </c>
      <c r="U720" s="482"/>
      <c r="V720" s="482"/>
      <c r="W720" s="483"/>
      <c r="X720" s="482"/>
      <c r="Y720" s="482"/>
      <c r="Z720" s="482"/>
      <c r="AA720" s="482"/>
      <c r="AB720" s="482"/>
      <c r="AC720" s="482"/>
      <c r="AD720" s="482"/>
      <c r="AE720" s="482"/>
      <c r="AF720" s="482"/>
      <c r="AG720" s="482"/>
      <c r="AH720" s="482"/>
      <c r="AI720" s="482"/>
      <c r="AJ720" s="482"/>
      <c r="AK720" s="482"/>
      <c r="AL720" s="482"/>
      <c r="AM720" s="482"/>
      <c r="AN720" s="482"/>
      <c r="AO720" s="482"/>
      <c r="AP720" s="482"/>
      <c r="AQ720" s="482"/>
      <c r="AR720" s="482"/>
      <c r="AS720" s="482"/>
      <c r="AT720" s="482"/>
      <c r="AU720" s="482"/>
      <c r="AV720" s="482"/>
      <c r="AW720" s="482"/>
      <c r="AX720" s="482"/>
      <c r="AY720" s="486" t="str">
        <f t="shared" si="42"/>
        <v>--</v>
      </c>
      <c r="AZ720" s="487" t="str">
        <f t="shared" si="43"/>
        <v/>
      </c>
      <c r="BA720" s="482"/>
      <c r="BB720" s="482"/>
      <c r="BC720" s="482"/>
      <c r="BD720" s="482"/>
      <c r="BE720" s="482"/>
      <c r="BF720" s="482"/>
      <c r="BG720" s="482"/>
      <c r="BH720" s="482"/>
      <c r="BI720" s="482"/>
      <c r="BJ720" s="482"/>
      <c r="BK720" s="482"/>
      <c r="BL720" s="482"/>
      <c r="BM720" s="482"/>
      <c r="BN720" s="482"/>
      <c r="BO720" s="482"/>
      <c r="BP720" s="482"/>
      <c r="BQ720" s="482"/>
      <c r="BR720" s="482"/>
      <c r="BS720" s="482"/>
      <c r="BT720" s="482"/>
      <c r="BU720" s="482"/>
      <c r="BV720" s="482"/>
      <c r="BW720" s="482"/>
      <c r="BX720" s="482"/>
      <c r="BY720" s="482"/>
      <c r="BZ720" s="482"/>
      <c r="CA720" s="482"/>
      <c r="CB720" s="482"/>
      <c r="CC720" s="482"/>
      <c r="CD720" s="482"/>
      <c r="CE720" s="482"/>
      <c r="CF720" s="482"/>
      <c r="CG720" s="482"/>
      <c r="CH720" s="484"/>
    </row>
    <row r="721" spans="1:86" s="461" customFormat="1" ht="12" customHeight="1" x14ac:dyDescent="0.15">
      <c r="A721" s="522" t="s">
        <v>4583</v>
      </c>
      <c r="B721" s="467">
        <v>42567</v>
      </c>
      <c r="C721" s="468" t="s">
        <v>2744</v>
      </c>
      <c r="D721" s="468" t="s">
        <v>3832</v>
      </c>
      <c r="E721" s="468" t="s">
        <v>3846</v>
      </c>
      <c r="F721" s="468" t="s">
        <v>3686</v>
      </c>
      <c r="G721" s="466">
        <v>6</v>
      </c>
      <c r="H721" s="465">
        <v>6.5</v>
      </c>
      <c r="I721" s="466"/>
      <c r="J721" s="466"/>
      <c r="K721" s="466">
        <v>12</v>
      </c>
      <c r="L721" s="506">
        <f>9/2</f>
        <v>4.5</v>
      </c>
      <c r="M721" s="463">
        <v>5590</v>
      </c>
      <c r="N721" s="468" t="s">
        <v>3739</v>
      </c>
      <c r="O721" s="466">
        <v>12</v>
      </c>
      <c r="P721" s="523">
        <v>-23.25</v>
      </c>
      <c r="Q721" s="462">
        <v>9.0671296296296301E-4</v>
      </c>
      <c r="R721" s="463">
        <v>99</v>
      </c>
      <c r="S721" s="466" t="s">
        <v>625</v>
      </c>
      <c r="T721" s="524"/>
      <c r="W721" s="460"/>
      <c r="AY721" s="486">
        <f t="shared" si="42"/>
        <v>99</v>
      </c>
      <c r="AZ721" s="487" t="str">
        <f t="shared" si="43"/>
        <v/>
      </c>
      <c r="CH721" s="459"/>
    </row>
    <row r="722" spans="1:86" s="461" customFormat="1" ht="12" customHeight="1" x14ac:dyDescent="0.15">
      <c r="A722" s="522" t="s">
        <v>4174</v>
      </c>
      <c r="B722" s="467">
        <v>42567</v>
      </c>
      <c r="C722" s="468" t="s">
        <v>2564</v>
      </c>
      <c r="D722" s="468" t="s">
        <v>5225</v>
      </c>
      <c r="E722" s="468" t="s">
        <v>3961</v>
      </c>
      <c r="F722" s="468" t="s">
        <v>3686</v>
      </c>
      <c r="G722" s="466">
        <v>7</v>
      </c>
      <c r="H722" s="465">
        <v>6.5</v>
      </c>
      <c r="I722" s="466"/>
      <c r="J722" s="466"/>
      <c r="K722" s="466">
        <v>12</v>
      </c>
      <c r="L722" s="506">
        <v>8</v>
      </c>
      <c r="M722" s="463">
        <v>4630</v>
      </c>
      <c r="N722" s="468" t="s">
        <v>5135</v>
      </c>
      <c r="O722" s="466">
        <v>6</v>
      </c>
      <c r="P722" s="523">
        <v>-3.25</v>
      </c>
      <c r="Q722" s="462">
        <v>9.3726851851851859E-4</v>
      </c>
      <c r="R722" s="463">
        <v>99</v>
      </c>
      <c r="S722" s="466" t="s">
        <v>625</v>
      </c>
      <c r="T722" s="524"/>
      <c r="W722" s="460"/>
      <c r="AY722" s="486">
        <f t="shared" si="42"/>
        <v>99</v>
      </c>
      <c r="AZ722" s="487" t="str">
        <f t="shared" si="43"/>
        <v/>
      </c>
      <c r="CH722" s="459"/>
    </row>
    <row r="723" spans="1:86" s="461" customFormat="1" ht="12" customHeight="1" x14ac:dyDescent="0.15">
      <c r="A723" s="522" t="s">
        <v>21</v>
      </c>
      <c r="B723" s="467">
        <v>42567</v>
      </c>
      <c r="C723" s="468" t="s">
        <v>5212</v>
      </c>
      <c r="D723" s="468" t="s">
        <v>4323</v>
      </c>
      <c r="E723" s="468" t="s">
        <v>4036</v>
      </c>
      <c r="F723" s="468" t="s">
        <v>775</v>
      </c>
      <c r="G723" s="466">
        <v>4</v>
      </c>
      <c r="H723" s="465">
        <v>8</v>
      </c>
      <c r="I723" s="466" t="s">
        <v>3730</v>
      </c>
      <c r="J723" s="466"/>
      <c r="K723" s="466">
        <v>6</v>
      </c>
      <c r="L723" s="506">
        <v>5</v>
      </c>
      <c r="M723" s="463">
        <v>21000</v>
      </c>
      <c r="N723" s="468" t="s">
        <v>5213</v>
      </c>
      <c r="O723" s="466">
        <v>3</v>
      </c>
      <c r="P723" s="523">
        <v>-2</v>
      </c>
      <c r="Q723" s="462">
        <v>1.1133101851851853E-3</v>
      </c>
      <c r="R723" s="463">
        <v>2640</v>
      </c>
      <c r="S723" s="466"/>
      <c r="T723" s="524"/>
      <c r="W723" s="460"/>
      <c r="AY723" s="486" t="str">
        <f t="shared" si="42"/>
        <v/>
      </c>
      <c r="AZ723" s="487" t="str">
        <f t="shared" si="43"/>
        <v/>
      </c>
      <c r="CH723" s="459"/>
    </row>
    <row r="724" spans="1:86" s="461" customFormat="1" ht="12" customHeight="1" x14ac:dyDescent="0.15">
      <c r="A724" s="522" t="s">
        <v>3944</v>
      </c>
      <c r="B724" s="467">
        <v>42567</v>
      </c>
      <c r="C724" s="468" t="s">
        <v>3949</v>
      </c>
      <c r="D724" s="468" t="s">
        <v>3945</v>
      </c>
      <c r="E724" s="468" t="s">
        <v>5315</v>
      </c>
      <c r="F724" s="468" t="s">
        <v>3686</v>
      </c>
      <c r="G724" s="466">
        <v>8</v>
      </c>
      <c r="H724" s="465">
        <v>8</v>
      </c>
      <c r="I724" s="466"/>
      <c r="J724" s="466"/>
      <c r="K724" s="466">
        <v>11</v>
      </c>
      <c r="L724" s="506">
        <v>15</v>
      </c>
      <c r="M724" s="463">
        <v>6348</v>
      </c>
      <c r="N724" s="468" t="s">
        <v>5137</v>
      </c>
      <c r="O724" s="466">
        <v>6</v>
      </c>
      <c r="P724" s="523">
        <v>-9.25</v>
      </c>
      <c r="Q724" s="462">
        <v>1.1277777777777779E-3</v>
      </c>
      <c r="R724" s="463">
        <v>99</v>
      </c>
      <c r="S724" s="466" t="s">
        <v>625</v>
      </c>
      <c r="T724" s="524"/>
      <c r="W724" s="460"/>
      <c r="AY724" s="486">
        <f t="shared" si="42"/>
        <v>99</v>
      </c>
      <c r="AZ724" s="487" t="str">
        <f t="shared" si="43"/>
        <v/>
      </c>
      <c r="CH724" s="459"/>
    </row>
    <row r="725" spans="1:86" s="461" customFormat="1" ht="12" customHeight="1" x14ac:dyDescent="0.15">
      <c r="A725" s="522" t="s">
        <v>4656</v>
      </c>
      <c r="B725" s="467">
        <v>42567</v>
      </c>
      <c r="C725" s="468" t="s">
        <v>4521</v>
      </c>
      <c r="D725" s="468" t="s">
        <v>3192</v>
      </c>
      <c r="E725" s="468" t="s">
        <v>4069</v>
      </c>
      <c r="F725" s="468" t="s">
        <v>3686</v>
      </c>
      <c r="G725" s="466">
        <v>9</v>
      </c>
      <c r="H725" s="465">
        <v>6.5</v>
      </c>
      <c r="I725" s="466"/>
      <c r="J725" s="466"/>
      <c r="K725" s="466">
        <v>13</v>
      </c>
      <c r="L725" s="506">
        <v>6</v>
      </c>
      <c r="M725" s="463">
        <v>5590</v>
      </c>
      <c r="N725" s="468" t="s">
        <v>3739</v>
      </c>
      <c r="O725" s="466">
        <v>10</v>
      </c>
      <c r="P725" s="523">
        <v>-16.75</v>
      </c>
      <c r="Q725" s="462">
        <v>9.1608796296296284E-4</v>
      </c>
      <c r="R725" s="463">
        <v>99</v>
      </c>
      <c r="S725" s="466" t="s">
        <v>625</v>
      </c>
      <c r="T725" s="524"/>
      <c r="W725" s="460"/>
      <c r="AY725" s="486">
        <f t="shared" si="42"/>
        <v>99</v>
      </c>
      <c r="AZ725" s="487" t="str">
        <f t="shared" si="43"/>
        <v/>
      </c>
      <c r="CH725" s="459"/>
    </row>
    <row r="726" spans="1:86" s="469" customFormat="1" ht="12" customHeight="1" x14ac:dyDescent="0.15">
      <c r="A726" s="471" t="s">
        <v>122</v>
      </c>
      <c r="B726" s="472">
        <v>42567</v>
      </c>
      <c r="C726" s="471" t="s">
        <v>4346</v>
      </c>
      <c r="D726" s="471" t="s">
        <v>4347</v>
      </c>
      <c r="E726" s="471" t="s">
        <v>3188</v>
      </c>
      <c r="F726" s="471" t="s">
        <v>4541</v>
      </c>
      <c r="G726" s="473">
        <v>5</v>
      </c>
      <c r="H726" s="474">
        <v>8.5</v>
      </c>
      <c r="I726" s="475" t="s">
        <v>3730</v>
      </c>
      <c r="J726" s="475"/>
      <c r="K726" s="473">
        <v>14</v>
      </c>
      <c r="L726" s="485" t="s">
        <v>431</v>
      </c>
      <c r="M726" s="476">
        <v>100000</v>
      </c>
      <c r="N726" s="471" t="s">
        <v>5204</v>
      </c>
      <c r="O726" s="477" t="s">
        <v>431</v>
      </c>
      <c r="P726" s="478" t="s">
        <v>431</v>
      </c>
      <c r="Q726" s="479" t="s">
        <v>431</v>
      </c>
      <c r="R726" s="480" t="s">
        <v>431</v>
      </c>
      <c r="S726" s="477"/>
      <c r="T726" s="481" t="s">
        <v>5232</v>
      </c>
      <c r="U726" s="482"/>
      <c r="V726" s="482"/>
      <c r="W726" s="483"/>
      <c r="X726" s="482"/>
      <c r="Y726" s="482"/>
      <c r="Z726" s="482"/>
      <c r="AA726" s="482"/>
      <c r="AB726" s="482"/>
      <c r="AC726" s="482"/>
      <c r="AD726" s="482"/>
      <c r="AE726" s="482"/>
      <c r="AF726" s="482"/>
      <c r="AG726" s="482"/>
      <c r="AH726" s="482"/>
      <c r="AI726" s="482"/>
      <c r="AJ726" s="482"/>
      <c r="AK726" s="482"/>
      <c r="AL726" s="482"/>
      <c r="AM726" s="482"/>
      <c r="AN726" s="482"/>
      <c r="AO726" s="482"/>
      <c r="AP726" s="482"/>
      <c r="AQ726" s="482"/>
      <c r="AR726" s="482"/>
      <c r="AS726" s="482"/>
      <c r="AT726" s="482"/>
      <c r="AU726" s="482"/>
      <c r="AV726" s="482"/>
      <c r="AW726" s="482"/>
      <c r="AX726" s="482"/>
      <c r="AY726" s="486" t="str">
        <f t="shared" si="42"/>
        <v/>
      </c>
      <c r="AZ726" s="487" t="str">
        <f t="shared" si="43"/>
        <v/>
      </c>
      <c r="BA726" s="482"/>
      <c r="BB726" s="482"/>
      <c r="BC726" s="482"/>
      <c r="BD726" s="482"/>
      <c r="BE726" s="482"/>
      <c r="BF726" s="482"/>
      <c r="BG726" s="482"/>
      <c r="BH726" s="482"/>
      <c r="BI726" s="482"/>
      <c r="BJ726" s="482"/>
      <c r="BK726" s="482"/>
      <c r="BL726" s="482"/>
      <c r="BM726" s="482"/>
      <c r="BN726" s="482"/>
      <c r="BO726" s="482"/>
      <c r="BP726" s="482"/>
      <c r="BQ726" s="482"/>
      <c r="BR726" s="482"/>
      <c r="BS726" s="482"/>
      <c r="BT726" s="482"/>
      <c r="BU726" s="482"/>
      <c r="BV726" s="482"/>
      <c r="BW726" s="482"/>
      <c r="BX726" s="482"/>
      <c r="BY726" s="482"/>
      <c r="BZ726" s="482"/>
      <c r="CA726" s="482"/>
      <c r="CB726" s="482"/>
      <c r="CC726" s="482"/>
      <c r="CD726" s="482"/>
      <c r="CE726" s="482"/>
      <c r="CF726" s="482"/>
      <c r="CG726" s="482"/>
      <c r="CH726" s="484"/>
    </row>
    <row r="727" spans="1:86" s="469" customFormat="1" ht="12" customHeight="1" x14ac:dyDescent="0.15">
      <c r="A727" s="471" t="s">
        <v>122</v>
      </c>
      <c r="B727" s="472">
        <v>42567</v>
      </c>
      <c r="C727" s="471" t="s">
        <v>4346</v>
      </c>
      <c r="D727" s="471" t="s">
        <v>4347</v>
      </c>
      <c r="E727" s="471" t="s">
        <v>3188</v>
      </c>
      <c r="F727" s="471" t="s">
        <v>4541</v>
      </c>
      <c r="G727" s="473">
        <v>7</v>
      </c>
      <c r="H727" s="474">
        <v>8.3000000000000007</v>
      </c>
      <c r="I727" s="475"/>
      <c r="J727" s="475"/>
      <c r="K727" s="473">
        <v>10</v>
      </c>
      <c r="L727" s="485" t="s">
        <v>431</v>
      </c>
      <c r="M727" s="476">
        <v>100000</v>
      </c>
      <c r="N727" s="471" t="s">
        <v>5205</v>
      </c>
      <c r="O727" s="477" t="s">
        <v>431</v>
      </c>
      <c r="P727" s="478" t="s">
        <v>431</v>
      </c>
      <c r="Q727" s="479" t="s">
        <v>431</v>
      </c>
      <c r="R727" s="480" t="s">
        <v>431</v>
      </c>
      <c r="S727" s="477"/>
      <c r="T727" s="481" t="s">
        <v>5232</v>
      </c>
      <c r="U727" s="482"/>
      <c r="V727" s="482"/>
      <c r="W727" s="483"/>
      <c r="X727" s="482"/>
      <c r="Y727" s="482"/>
      <c r="Z727" s="482"/>
      <c r="AA727" s="482"/>
      <c r="AB727" s="482"/>
      <c r="AC727" s="482"/>
      <c r="AD727" s="482"/>
      <c r="AE727" s="482"/>
      <c r="AF727" s="482"/>
      <c r="AG727" s="482"/>
      <c r="AH727" s="482"/>
      <c r="AI727" s="482"/>
      <c r="AJ727" s="482"/>
      <c r="AK727" s="482"/>
      <c r="AL727" s="482"/>
      <c r="AM727" s="482"/>
      <c r="AN727" s="482"/>
      <c r="AO727" s="482"/>
      <c r="AP727" s="482"/>
      <c r="AQ727" s="482"/>
      <c r="AR727" s="482"/>
      <c r="AS727" s="482"/>
      <c r="AT727" s="482"/>
      <c r="AU727" s="482"/>
      <c r="AV727" s="482"/>
      <c r="AW727" s="482"/>
      <c r="AX727" s="482"/>
      <c r="AY727" s="486" t="str">
        <f t="shared" si="42"/>
        <v/>
      </c>
      <c r="AZ727" s="487" t="str">
        <f t="shared" si="43"/>
        <v/>
      </c>
      <c r="BA727" s="482"/>
      <c r="BB727" s="482"/>
      <c r="BC727" s="482"/>
      <c r="BD727" s="482"/>
      <c r="BE727" s="482"/>
      <c r="BF727" s="482"/>
      <c r="BG727" s="482"/>
      <c r="BH727" s="482"/>
      <c r="BI727" s="482"/>
      <c r="BJ727" s="482"/>
      <c r="BK727" s="482"/>
      <c r="BL727" s="482"/>
      <c r="BM727" s="482"/>
      <c r="BN727" s="482"/>
      <c r="BO727" s="482"/>
      <c r="BP727" s="482"/>
      <c r="BQ727" s="482"/>
      <c r="BR727" s="482"/>
      <c r="BS727" s="482"/>
      <c r="BT727" s="482"/>
      <c r="BU727" s="482"/>
      <c r="BV727" s="482"/>
      <c r="BW727" s="482"/>
      <c r="BX727" s="482"/>
      <c r="BY727" s="482"/>
      <c r="BZ727" s="482"/>
      <c r="CA727" s="482"/>
      <c r="CB727" s="482"/>
      <c r="CC727" s="482"/>
      <c r="CD727" s="482"/>
      <c r="CE727" s="482"/>
      <c r="CF727" s="482"/>
      <c r="CG727" s="482"/>
      <c r="CH727" s="484"/>
    </row>
    <row r="728" spans="1:86" s="461" customFormat="1" ht="12" customHeight="1" x14ac:dyDescent="0.15">
      <c r="A728" s="522" t="s">
        <v>4301</v>
      </c>
      <c r="B728" s="467">
        <v>42567</v>
      </c>
      <c r="C728" s="468" t="s">
        <v>2744</v>
      </c>
      <c r="D728" s="468" t="s">
        <v>3832</v>
      </c>
      <c r="E728" s="468" t="s">
        <v>3846</v>
      </c>
      <c r="F728" s="468" t="s">
        <v>3686</v>
      </c>
      <c r="G728" s="466">
        <v>12</v>
      </c>
      <c r="H728" s="465">
        <v>6.5</v>
      </c>
      <c r="I728" s="466"/>
      <c r="J728" s="466"/>
      <c r="K728" s="466">
        <v>13</v>
      </c>
      <c r="L728" s="506">
        <f>7/2</f>
        <v>3.5</v>
      </c>
      <c r="M728" s="463">
        <v>7391</v>
      </c>
      <c r="N728" s="468" t="s">
        <v>3653</v>
      </c>
      <c r="O728" s="466">
        <v>3</v>
      </c>
      <c r="P728" s="523">
        <v>-2.25</v>
      </c>
      <c r="Q728" s="462">
        <v>9.3564814814814812E-4</v>
      </c>
      <c r="R728" s="463">
        <v>440</v>
      </c>
      <c r="S728" s="466" t="s">
        <v>625</v>
      </c>
      <c r="T728" s="524" t="s">
        <v>3755</v>
      </c>
      <c r="W728" s="460"/>
      <c r="AY728" s="486">
        <f t="shared" si="42"/>
        <v>440</v>
      </c>
      <c r="AZ728" s="487" t="str">
        <f t="shared" si="43"/>
        <v/>
      </c>
      <c r="CH728" s="459"/>
    </row>
    <row r="729" spans="1:86" s="461" customFormat="1" ht="12" customHeight="1" x14ac:dyDescent="0.15">
      <c r="A729" s="522" t="s">
        <v>2176</v>
      </c>
      <c r="B729" s="467">
        <v>42567</v>
      </c>
      <c r="C729" s="468" t="s">
        <v>4594</v>
      </c>
      <c r="D729" s="468" t="s">
        <v>5244</v>
      </c>
      <c r="E729" s="468" t="s">
        <v>4490</v>
      </c>
      <c r="F729" s="468" t="s">
        <v>2376</v>
      </c>
      <c r="G729" s="466">
        <v>4</v>
      </c>
      <c r="H729" s="465">
        <v>8.5</v>
      </c>
      <c r="I729" s="466" t="s">
        <v>3730</v>
      </c>
      <c r="J729" s="466"/>
      <c r="K729" s="466">
        <v>12</v>
      </c>
      <c r="L729" s="506">
        <v>10</v>
      </c>
      <c r="M729" s="463">
        <v>20900</v>
      </c>
      <c r="N729" s="468" t="s">
        <v>5245</v>
      </c>
      <c r="O729" s="466">
        <v>10</v>
      </c>
      <c r="P729" s="523">
        <v>-19.75</v>
      </c>
      <c r="Q729" s="462">
        <v>1.2012731481481481E-3</v>
      </c>
      <c r="R729" s="463">
        <v>0</v>
      </c>
      <c r="S729" s="466"/>
      <c r="T729" s="524"/>
      <c r="W729" s="460"/>
      <c r="AY729" s="486" t="str">
        <f t="shared" si="42"/>
        <v/>
      </c>
      <c r="AZ729" s="487" t="str">
        <f t="shared" si="43"/>
        <v/>
      </c>
      <c r="CH729" s="459"/>
    </row>
    <row r="730" spans="1:86" s="461" customFormat="1" ht="12" customHeight="1" x14ac:dyDescent="0.15">
      <c r="A730" s="522" t="s">
        <v>2127</v>
      </c>
      <c r="B730" s="467">
        <v>42567</v>
      </c>
      <c r="C730" s="468" t="s">
        <v>1838</v>
      </c>
      <c r="D730" s="468" t="s">
        <v>3842</v>
      </c>
      <c r="E730" s="468" t="s">
        <v>3843</v>
      </c>
      <c r="F730" s="468" t="s">
        <v>993</v>
      </c>
      <c r="G730" s="466">
        <v>4</v>
      </c>
      <c r="H730" s="465">
        <v>7</v>
      </c>
      <c r="I730" s="466"/>
      <c r="J730" s="466"/>
      <c r="K730" s="466">
        <v>6</v>
      </c>
      <c r="L730" s="506">
        <f>5/2</f>
        <v>2.5</v>
      </c>
      <c r="M730" s="463">
        <v>12000</v>
      </c>
      <c r="N730" s="468" t="s">
        <v>4674</v>
      </c>
      <c r="O730" s="466">
        <v>4</v>
      </c>
      <c r="P730" s="523">
        <v>-7.25</v>
      </c>
      <c r="Q730" s="462">
        <v>1.0244212962962963E-3</v>
      </c>
      <c r="R730" s="463">
        <v>600</v>
      </c>
      <c r="S730" s="466"/>
      <c r="T730" s="524" t="s">
        <v>3755</v>
      </c>
      <c r="W730" s="460"/>
      <c r="AY730" s="486" t="str">
        <f t="shared" si="42"/>
        <v/>
      </c>
      <c r="AZ730" s="487" t="str">
        <f t="shared" si="43"/>
        <v/>
      </c>
      <c r="CH730" s="459"/>
    </row>
    <row r="731" spans="1:86" s="461" customFormat="1" ht="12" customHeight="1" x14ac:dyDescent="0.15">
      <c r="A731" s="522" t="s">
        <v>4374</v>
      </c>
      <c r="B731" s="467">
        <v>42568</v>
      </c>
      <c r="C731" s="468" t="s">
        <v>4375</v>
      </c>
      <c r="D731" s="468" t="s">
        <v>4376</v>
      </c>
      <c r="E731" s="468" t="s">
        <v>4388</v>
      </c>
      <c r="F731" s="468" t="s">
        <v>4738</v>
      </c>
      <c r="G731" s="466">
        <v>4</v>
      </c>
      <c r="H731" s="465">
        <v>6</v>
      </c>
      <c r="I731" s="466"/>
      <c r="J731" s="466"/>
      <c r="K731" s="466">
        <v>6</v>
      </c>
      <c r="L731" s="506">
        <v>3</v>
      </c>
      <c r="M731" s="463">
        <v>3868</v>
      </c>
      <c r="N731" s="468" t="s">
        <v>3739</v>
      </c>
      <c r="O731" s="466">
        <v>2</v>
      </c>
      <c r="P731" s="523">
        <v>-1.5</v>
      </c>
      <c r="Q731" s="462">
        <v>8.9907407407407395E-4</v>
      </c>
      <c r="R731" s="463">
        <v>777</v>
      </c>
      <c r="S731" s="466" t="s">
        <v>625</v>
      </c>
      <c r="T731" s="524" t="s">
        <v>3755</v>
      </c>
      <c r="W731" s="460"/>
      <c r="AY731" s="486">
        <f t="shared" si="42"/>
        <v>777</v>
      </c>
      <c r="AZ731" s="487" t="str">
        <f t="shared" si="43"/>
        <v/>
      </c>
      <c r="CH731" s="459"/>
    </row>
    <row r="732" spans="1:86" s="461" customFormat="1" ht="12" customHeight="1" x14ac:dyDescent="0.15">
      <c r="A732" s="522" t="s">
        <v>4391</v>
      </c>
      <c r="B732" s="467">
        <v>42568</v>
      </c>
      <c r="C732" s="468" t="s">
        <v>5248</v>
      </c>
      <c r="D732" s="468" t="s">
        <v>5249</v>
      </c>
      <c r="E732" s="468" t="s">
        <v>5250</v>
      </c>
      <c r="F732" s="468" t="s">
        <v>3300</v>
      </c>
      <c r="G732" s="466">
        <v>5</v>
      </c>
      <c r="H732" s="465">
        <v>6</v>
      </c>
      <c r="I732" s="466"/>
      <c r="J732" s="466"/>
      <c r="K732" s="466">
        <v>7</v>
      </c>
      <c r="L732" s="506">
        <v>6</v>
      </c>
      <c r="M732" s="463">
        <v>36000</v>
      </c>
      <c r="N732" s="468" t="s">
        <v>4636</v>
      </c>
      <c r="O732" s="466">
        <v>5</v>
      </c>
      <c r="P732" s="523">
        <v>-7.5</v>
      </c>
      <c r="Q732" s="462">
        <v>8.1400462962962947E-4</v>
      </c>
      <c r="R732" s="463">
        <v>500</v>
      </c>
      <c r="S732" s="466"/>
      <c r="T732" s="524"/>
      <c r="W732" s="460"/>
      <c r="AY732" s="486" t="str">
        <f t="shared" si="42"/>
        <v/>
      </c>
      <c r="AZ732" s="487" t="str">
        <f t="shared" si="43"/>
        <v/>
      </c>
      <c r="CH732" s="459"/>
    </row>
    <row r="733" spans="1:86" s="461" customFormat="1" ht="12" customHeight="1" x14ac:dyDescent="0.15">
      <c r="A733" s="522" t="s">
        <v>2155</v>
      </c>
      <c r="B733" s="467">
        <v>42568</v>
      </c>
      <c r="C733" s="468" t="s">
        <v>1767</v>
      </c>
      <c r="D733" s="468" t="s">
        <v>5251</v>
      </c>
      <c r="E733" s="468" t="s">
        <v>3880</v>
      </c>
      <c r="F733" s="468" t="s">
        <v>788</v>
      </c>
      <c r="G733" s="466">
        <v>5</v>
      </c>
      <c r="H733" s="465">
        <v>8</v>
      </c>
      <c r="I733" s="466"/>
      <c r="J733" s="466"/>
      <c r="K733" s="466">
        <v>8</v>
      </c>
      <c r="L733" s="506">
        <v>6</v>
      </c>
      <c r="M733" s="463">
        <v>30000</v>
      </c>
      <c r="N733" s="468" t="s">
        <v>4598</v>
      </c>
      <c r="O733" s="466">
        <v>4</v>
      </c>
      <c r="P733" s="523">
        <v>-1.25</v>
      </c>
      <c r="Q733" s="462">
        <v>1.1429398148148149E-3</v>
      </c>
      <c r="R733" s="463">
        <v>1800</v>
      </c>
      <c r="S733" s="466"/>
      <c r="T733" s="524" t="s">
        <v>5474</v>
      </c>
      <c r="W733" s="460"/>
      <c r="AY733" s="486" t="str">
        <f t="shared" si="42"/>
        <v/>
      </c>
      <c r="AZ733" s="487" t="str">
        <f t="shared" si="43"/>
        <v/>
      </c>
      <c r="CH733" s="459"/>
    </row>
    <row r="734" spans="1:86" s="461" customFormat="1" ht="12" customHeight="1" x14ac:dyDescent="0.15">
      <c r="A734" s="522" t="s">
        <v>4621</v>
      </c>
      <c r="B734" s="467">
        <v>42568</v>
      </c>
      <c r="C734" s="468" t="s">
        <v>4908</v>
      </c>
      <c r="D734" s="468" t="s">
        <v>3892</v>
      </c>
      <c r="E734" s="468" t="s">
        <v>5110</v>
      </c>
      <c r="F734" s="468" t="s">
        <v>540</v>
      </c>
      <c r="G734" s="466">
        <v>7</v>
      </c>
      <c r="H734" s="465">
        <v>7.5</v>
      </c>
      <c r="I734" s="466" t="s">
        <v>3730</v>
      </c>
      <c r="J734" s="466"/>
      <c r="K734" s="466">
        <v>11</v>
      </c>
      <c r="L734" s="506">
        <v>4</v>
      </c>
      <c r="M734" s="463">
        <v>18000</v>
      </c>
      <c r="N734" s="468" t="s">
        <v>4910</v>
      </c>
      <c r="O734" s="466">
        <v>10</v>
      </c>
      <c r="P734" s="523">
        <v>-12.5</v>
      </c>
      <c r="Q734" s="462">
        <v>1.0554398148148148E-3</v>
      </c>
      <c r="R734" s="463">
        <v>160</v>
      </c>
      <c r="S734" s="466"/>
      <c r="T734" s="524" t="s">
        <v>3755</v>
      </c>
      <c r="W734" s="460"/>
      <c r="AY734" s="486" t="str">
        <f t="shared" si="42"/>
        <v/>
      </c>
      <c r="AZ734" s="487" t="str">
        <f t="shared" si="43"/>
        <v/>
      </c>
      <c r="CH734" s="459"/>
    </row>
    <row r="735" spans="1:86" s="461" customFormat="1" ht="12" customHeight="1" x14ac:dyDescent="0.15">
      <c r="A735" s="522" t="s">
        <v>2355</v>
      </c>
      <c r="B735" s="467">
        <v>42568</v>
      </c>
      <c r="C735" s="468" t="s">
        <v>4601</v>
      </c>
      <c r="D735" s="468" t="s">
        <v>5252</v>
      </c>
      <c r="E735" s="468" t="s">
        <v>5253</v>
      </c>
      <c r="F735" s="468" t="s">
        <v>3300</v>
      </c>
      <c r="G735" s="466">
        <v>10</v>
      </c>
      <c r="H735" s="465">
        <v>5.5</v>
      </c>
      <c r="I735" s="466" t="s">
        <v>959</v>
      </c>
      <c r="J735" s="466"/>
      <c r="K735" s="466">
        <v>7</v>
      </c>
      <c r="L735" s="506">
        <f>9/2</f>
        <v>4.5</v>
      </c>
      <c r="M735" s="463">
        <v>18500</v>
      </c>
      <c r="N735" s="468" t="s">
        <v>4720</v>
      </c>
      <c r="O735" s="466">
        <v>3</v>
      </c>
      <c r="P735" s="523">
        <v>-1.75</v>
      </c>
      <c r="Q735" s="462">
        <v>7.4513888888888883E-4</v>
      </c>
      <c r="R735" s="463">
        <v>1850</v>
      </c>
      <c r="S735" s="466"/>
      <c r="T735" s="524" t="s">
        <v>5276</v>
      </c>
      <c r="W735" s="460"/>
      <c r="AY735" s="486" t="str">
        <f t="shared" si="42"/>
        <v/>
      </c>
      <c r="AZ735" s="487" t="str">
        <f t="shared" si="43"/>
        <v/>
      </c>
      <c r="CH735" s="459"/>
    </row>
    <row r="736" spans="1:86" s="461" customFormat="1" ht="12" customHeight="1" x14ac:dyDescent="0.15">
      <c r="A736" s="522" t="s">
        <v>1897</v>
      </c>
      <c r="B736" s="467">
        <v>42568</v>
      </c>
      <c r="C736" s="468" t="s">
        <v>424</v>
      </c>
      <c r="D736" s="468" t="s">
        <v>4095</v>
      </c>
      <c r="E736" s="468" t="s">
        <v>3930</v>
      </c>
      <c r="F736" s="468" t="s">
        <v>3300</v>
      </c>
      <c r="G736" s="466">
        <v>10</v>
      </c>
      <c r="H736" s="465">
        <v>5.5</v>
      </c>
      <c r="I736" s="466" t="s">
        <v>959</v>
      </c>
      <c r="J736" s="466"/>
      <c r="K736" s="466">
        <v>7</v>
      </c>
      <c r="L736" s="506">
        <v>8</v>
      </c>
      <c r="M736" s="463">
        <v>18500</v>
      </c>
      <c r="N736" s="468" t="s">
        <v>4720</v>
      </c>
      <c r="O736" s="466">
        <v>7</v>
      </c>
      <c r="P736" s="523">
        <v>-16.75</v>
      </c>
      <c r="Q736" s="462">
        <v>7.4513888888888883E-4</v>
      </c>
      <c r="R736" s="463">
        <v>500</v>
      </c>
      <c r="S736" s="466"/>
      <c r="T736" s="524"/>
      <c r="W736" s="460"/>
      <c r="AY736" s="486" t="str">
        <f t="shared" si="42"/>
        <v/>
      </c>
      <c r="AZ736" s="487" t="str">
        <f t="shared" si="43"/>
        <v/>
      </c>
      <c r="CH736" s="459"/>
    </row>
    <row r="737" spans="1:90" s="461" customFormat="1" ht="12" customHeight="1" x14ac:dyDescent="0.15">
      <c r="A737" s="522" t="s">
        <v>2157</v>
      </c>
      <c r="B737" s="467">
        <v>42568</v>
      </c>
      <c r="C737" s="468" t="s">
        <v>4944</v>
      </c>
      <c r="D737" s="468" t="s">
        <v>4941</v>
      </c>
      <c r="E737" s="468" t="s">
        <v>3671</v>
      </c>
      <c r="F737" s="468" t="s">
        <v>433</v>
      </c>
      <c r="G737" s="466">
        <v>10</v>
      </c>
      <c r="H737" s="465">
        <v>7</v>
      </c>
      <c r="I737" s="466" t="s">
        <v>3730</v>
      </c>
      <c r="J737" s="466"/>
      <c r="K737" s="466">
        <v>12</v>
      </c>
      <c r="L737" s="506">
        <v>20</v>
      </c>
      <c r="M737" s="463">
        <v>41000</v>
      </c>
      <c r="N737" s="468" t="s">
        <v>4945</v>
      </c>
      <c r="O737" s="466">
        <v>8</v>
      </c>
      <c r="P737" s="523">
        <v>-17.25</v>
      </c>
      <c r="Q737" s="462">
        <v>9.3680555555555563E-4</v>
      </c>
      <c r="R737" s="463">
        <v>137</v>
      </c>
      <c r="S737" s="466"/>
      <c r="T737" s="524"/>
      <c r="W737" s="460"/>
      <c r="AY737" s="486" t="str">
        <f t="shared" si="42"/>
        <v/>
      </c>
      <c r="AZ737" s="487" t="str">
        <f t="shared" si="43"/>
        <v/>
      </c>
      <c r="CH737" s="459"/>
    </row>
    <row r="738" spans="1:90" s="469" customFormat="1" ht="12" customHeight="1" x14ac:dyDescent="0.15">
      <c r="A738" s="444" t="s">
        <v>4830</v>
      </c>
      <c r="B738" s="445">
        <v>42569</v>
      </c>
      <c r="C738" s="446" t="s">
        <v>3311</v>
      </c>
      <c r="D738" s="446" t="s">
        <v>5277</v>
      </c>
      <c r="E738" s="446" t="s">
        <v>4534</v>
      </c>
      <c r="F738" s="446" t="s">
        <v>3685</v>
      </c>
      <c r="G738" s="447">
        <v>1</v>
      </c>
      <c r="H738" s="448">
        <v>7</v>
      </c>
      <c r="I738" s="447"/>
      <c r="J738" s="447" t="s">
        <v>4366</v>
      </c>
      <c r="K738" s="447">
        <v>8</v>
      </c>
      <c r="L738" s="449">
        <v>3</v>
      </c>
      <c r="M738" s="450">
        <v>4335</v>
      </c>
      <c r="N738" s="446" t="s">
        <v>3348</v>
      </c>
      <c r="O738" s="447">
        <v>1</v>
      </c>
      <c r="P738" s="451">
        <v>6.5</v>
      </c>
      <c r="Q738" s="452">
        <v>1.0070601851851853E-3</v>
      </c>
      <c r="R738" s="450">
        <v>2678</v>
      </c>
      <c r="S738" s="447" t="s">
        <v>625</v>
      </c>
      <c r="T738" s="453" t="s">
        <v>4253</v>
      </c>
      <c r="U738" s="454"/>
      <c r="V738" s="454"/>
      <c r="W738" s="455"/>
      <c r="X738" s="454"/>
      <c r="Y738" s="454"/>
      <c r="Z738" s="454"/>
      <c r="AA738" s="454"/>
      <c r="AB738" s="454"/>
      <c r="AC738" s="454"/>
      <c r="AD738" s="454"/>
      <c r="AE738" s="454"/>
      <c r="AF738" s="454"/>
      <c r="AG738" s="454"/>
      <c r="AH738" s="454"/>
      <c r="AI738" s="454"/>
      <c r="AJ738" s="454"/>
      <c r="AK738" s="454"/>
      <c r="AL738" s="454"/>
      <c r="AM738" s="454"/>
      <c r="AN738" s="454"/>
      <c r="AO738" s="454"/>
      <c r="AP738" s="454"/>
      <c r="AQ738" s="454"/>
      <c r="AR738" s="454"/>
      <c r="AS738" s="454"/>
      <c r="AT738" s="454"/>
      <c r="AU738" s="454"/>
      <c r="AV738" s="454"/>
      <c r="AW738" s="454"/>
      <c r="AX738" s="454"/>
      <c r="AY738" s="486">
        <f t="shared" si="42"/>
        <v>2678</v>
      </c>
      <c r="AZ738" s="487">
        <f t="shared" si="43"/>
        <v>1</v>
      </c>
      <c r="BA738" s="454"/>
      <c r="BB738" s="454"/>
      <c r="BC738" s="454"/>
      <c r="BD738" s="454"/>
      <c r="BE738" s="454"/>
      <c r="BF738" s="454"/>
      <c r="BG738" s="454"/>
      <c r="BH738" s="454"/>
      <c r="BI738" s="454"/>
      <c r="BJ738" s="454"/>
      <c r="BK738" s="454"/>
      <c r="BL738" s="454"/>
      <c r="BM738" s="454"/>
      <c r="BN738" s="454"/>
      <c r="BO738" s="454"/>
      <c r="BP738" s="454"/>
      <c r="BQ738" s="454"/>
      <c r="BR738" s="454"/>
      <c r="BS738" s="454"/>
      <c r="BT738" s="454"/>
      <c r="BU738" s="454"/>
      <c r="BV738" s="454"/>
      <c r="BW738" s="454"/>
      <c r="BX738" s="454"/>
      <c r="BY738" s="454"/>
      <c r="BZ738" s="454"/>
      <c r="CA738" s="454"/>
      <c r="CB738" s="454"/>
      <c r="CC738" s="454"/>
      <c r="CD738" s="454"/>
      <c r="CE738" s="454"/>
      <c r="CF738" s="454"/>
      <c r="CG738" s="454"/>
      <c r="CH738" s="456"/>
      <c r="CI738" s="454"/>
      <c r="CJ738" s="454"/>
      <c r="CK738" s="454"/>
      <c r="CL738" s="454"/>
    </row>
    <row r="739" spans="1:90" s="469" customFormat="1" ht="12" customHeight="1" x14ac:dyDescent="0.15">
      <c r="A739" s="444" t="s">
        <v>5226</v>
      </c>
      <c r="B739" s="445">
        <v>42569</v>
      </c>
      <c r="C739" s="446" t="s">
        <v>5228</v>
      </c>
      <c r="D739" s="446" t="s">
        <v>5227</v>
      </c>
      <c r="E739" s="446" t="s">
        <v>5261</v>
      </c>
      <c r="F739" s="446" t="s">
        <v>3685</v>
      </c>
      <c r="G739" s="447">
        <v>4</v>
      </c>
      <c r="H739" s="448">
        <v>5.5</v>
      </c>
      <c r="I739" s="447"/>
      <c r="J739" s="447" t="s">
        <v>4366</v>
      </c>
      <c r="K739" s="447">
        <v>10</v>
      </c>
      <c r="L739" s="449">
        <v>4</v>
      </c>
      <c r="M739" s="450">
        <v>4200</v>
      </c>
      <c r="N739" s="446" t="s">
        <v>3348</v>
      </c>
      <c r="O739" s="447">
        <v>1</v>
      </c>
      <c r="P739" s="451">
        <v>4</v>
      </c>
      <c r="Q739" s="452">
        <v>7.7488425925925912E-4</v>
      </c>
      <c r="R739" s="450">
        <v>2536</v>
      </c>
      <c r="S739" s="447" t="s">
        <v>625</v>
      </c>
      <c r="T739" s="453" t="s">
        <v>3755</v>
      </c>
      <c r="U739" s="454"/>
      <c r="V739" s="454"/>
      <c r="W739" s="455"/>
      <c r="X739" s="454"/>
      <c r="Y739" s="454"/>
      <c r="Z739" s="454"/>
      <c r="AA739" s="454"/>
      <c r="AB739" s="454"/>
      <c r="AC739" s="454"/>
      <c r="AD739" s="454"/>
      <c r="AE739" s="454"/>
      <c r="AF739" s="454"/>
      <c r="AG739" s="454"/>
      <c r="AH739" s="454"/>
      <c r="AI739" s="454"/>
      <c r="AJ739" s="454"/>
      <c r="AK739" s="454"/>
      <c r="AL739" s="454"/>
      <c r="AM739" s="454"/>
      <c r="AN739" s="454"/>
      <c r="AO739" s="454"/>
      <c r="AP739" s="454"/>
      <c r="AQ739" s="454"/>
      <c r="AR739" s="454"/>
      <c r="AS739" s="454"/>
      <c r="AT739" s="454"/>
      <c r="AU739" s="454"/>
      <c r="AV739" s="454"/>
      <c r="AW739" s="454"/>
      <c r="AX739" s="454"/>
      <c r="AY739" s="486">
        <f t="shared" si="42"/>
        <v>2536</v>
      </c>
      <c r="AZ739" s="487">
        <f t="shared" si="43"/>
        <v>1</v>
      </c>
      <c r="BA739" s="454"/>
      <c r="BB739" s="454"/>
      <c r="BC739" s="454"/>
      <c r="BD739" s="454"/>
      <c r="BE739" s="454"/>
      <c r="BF739" s="454"/>
      <c r="BG739" s="454"/>
      <c r="BH739" s="454"/>
      <c r="BI739" s="454"/>
      <c r="BJ739" s="454"/>
      <c r="BK739" s="454"/>
      <c r="BL739" s="454"/>
      <c r="BM739" s="454"/>
      <c r="BN739" s="454"/>
      <c r="BO739" s="454"/>
      <c r="BP739" s="454"/>
      <c r="BQ739" s="454"/>
      <c r="BR739" s="454"/>
      <c r="BS739" s="454"/>
      <c r="BT739" s="454"/>
      <c r="BU739" s="454"/>
      <c r="BV739" s="454"/>
      <c r="BW739" s="454"/>
      <c r="BX739" s="454"/>
      <c r="BY739" s="454"/>
      <c r="BZ739" s="454"/>
      <c r="CA739" s="454"/>
      <c r="CB739" s="454"/>
      <c r="CC739" s="454"/>
      <c r="CD739" s="454"/>
      <c r="CE739" s="454"/>
      <c r="CF739" s="454"/>
      <c r="CG739" s="454"/>
      <c r="CH739" s="456"/>
      <c r="CI739" s="454"/>
      <c r="CJ739" s="454"/>
      <c r="CK739" s="454"/>
      <c r="CL739" s="454"/>
    </row>
    <row r="740" spans="1:90" s="469" customFormat="1" ht="12" customHeight="1" x14ac:dyDescent="0.15">
      <c r="A740" s="471" t="s">
        <v>2166</v>
      </c>
      <c r="B740" s="472">
        <v>42569</v>
      </c>
      <c r="C740" s="471" t="s">
        <v>4886</v>
      </c>
      <c r="D740" s="471" t="s">
        <v>4884</v>
      </c>
      <c r="E740" s="471" t="s">
        <v>4993</v>
      </c>
      <c r="F740" s="471" t="s">
        <v>4828</v>
      </c>
      <c r="G740" s="473">
        <v>5</v>
      </c>
      <c r="H740" s="474">
        <v>5.5</v>
      </c>
      <c r="I740" s="475" t="s">
        <v>1360</v>
      </c>
      <c r="J740" s="475"/>
      <c r="K740" s="473">
        <v>6</v>
      </c>
      <c r="L740" s="458">
        <f>9/2</f>
        <v>4.5</v>
      </c>
      <c r="M740" s="476">
        <v>29000</v>
      </c>
      <c r="N740" s="471" t="s">
        <v>4578</v>
      </c>
      <c r="O740" s="477" t="s">
        <v>431</v>
      </c>
      <c r="P740" s="478" t="s">
        <v>431</v>
      </c>
      <c r="Q740" s="479" t="s">
        <v>431</v>
      </c>
      <c r="R740" s="480" t="s">
        <v>431</v>
      </c>
      <c r="S740" s="477"/>
      <c r="T740" s="481" t="s">
        <v>3885</v>
      </c>
      <c r="U740" s="482"/>
      <c r="V740" s="482"/>
      <c r="W740" s="483"/>
      <c r="X740" s="482"/>
      <c r="Y740" s="482"/>
      <c r="Z740" s="482"/>
      <c r="AA740" s="482"/>
      <c r="AB740" s="482"/>
      <c r="AC740" s="482"/>
      <c r="AD740" s="482"/>
      <c r="AE740" s="482"/>
      <c r="AF740" s="482"/>
      <c r="AG740" s="482"/>
      <c r="AH740" s="482"/>
      <c r="AI740" s="482"/>
      <c r="AJ740" s="482"/>
      <c r="AK740" s="482"/>
      <c r="AL740" s="482"/>
      <c r="AM740" s="482"/>
      <c r="AN740" s="482"/>
      <c r="AO740" s="482"/>
      <c r="AP740" s="482"/>
      <c r="AQ740" s="482"/>
      <c r="AR740" s="482"/>
      <c r="AS740" s="482"/>
      <c r="AT740" s="482"/>
      <c r="AU740" s="482"/>
      <c r="AV740" s="482"/>
      <c r="AW740" s="482"/>
      <c r="AX740" s="482"/>
      <c r="AY740" s="486" t="str">
        <f t="shared" ref="AY740:AY748" si="44">IF(S740="","",R740)</f>
        <v/>
      </c>
      <c r="AZ740" s="487" t="str">
        <f t="shared" ref="AZ740:AZ748" si="45">IF(F740="Pleasant Meadows","",IF(L740="","",IF(O740="--","",IF(O740=1,1,""))))</f>
        <v/>
      </c>
      <c r="BA740" s="482"/>
      <c r="BB740" s="482"/>
      <c r="BC740" s="482"/>
      <c r="BD740" s="482"/>
      <c r="BE740" s="482"/>
      <c r="BF740" s="482"/>
      <c r="BG740" s="482"/>
      <c r="BH740" s="482"/>
      <c r="BI740" s="482"/>
      <c r="BJ740" s="482"/>
      <c r="BK740" s="482"/>
      <c r="BL740" s="482"/>
      <c r="BM740" s="482"/>
      <c r="BN740" s="482"/>
      <c r="BO740" s="482"/>
      <c r="BP740" s="482"/>
      <c r="BQ740" s="482"/>
      <c r="BR740" s="482"/>
      <c r="BS740" s="482"/>
      <c r="BT740" s="482"/>
      <c r="BU740" s="482"/>
      <c r="BV740" s="482"/>
      <c r="BW740" s="482"/>
      <c r="BX740" s="482"/>
      <c r="BY740" s="482"/>
      <c r="BZ740" s="482"/>
      <c r="CA740" s="482"/>
      <c r="CB740" s="482"/>
      <c r="CC740" s="482"/>
      <c r="CD740" s="482"/>
      <c r="CE740" s="482"/>
      <c r="CF740" s="482"/>
      <c r="CG740" s="482"/>
      <c r="CH740" s="484"/>
    </row>
    <row r="741" spans="1:90" s="461" customFormat="1" ht="12" customHeight="1" x14ac:dyDescent="0.15">
      <c r="A741" s="522" t="s">
        <v>2143</v>
      </c>
      <c r="B741" s="467">
        <v>42570</v>
      </c>
      <c r="C741" s="468" t="s">
        <v>3299</v>
      </c>
      <c r="D741" s="468" t="s">
        <v>5246</v>
      </c>
      <c r="E741" s="468" t="s">
        <v>4713</v>
      </c>
      <c r="F741" s="468" t="s">
        <v>4828</v>
      </c>
      <c r="G741" s="466">
        <v>7</v>
      </c>
      <c r="H741" s="465">
        <v>5.5</v>
      </c>
      <c r="I741" s="466" t="s">
        <v>1360</v>
      </c>
      <c r="J741" s="466"/>
      <c r="K741" s="466">
        <v>6</v>
      </c>
      <c r="L741" s="506">
        <v>8</v>
      </c>
      <c r="M741" s="463">
        <v>29000</v>
      </c>
      <c r="N741" s="468" t="s">
        <v>4578</v>
      </c>
      <c r="O741" s="466">
        <v>4</v>
      </c>
      <c r="P741" s="523">
        <v>-5</v>
      </c>
      <c r="Q741" s="462">
        <v>7.3252314814814805E-4</v>
      </c>
      <c r="R741" s="463">
        <v>1450</v>
      </c>
      <c r="S741" s="466"/>
      <c r="T741" s="524"/>
      <c r="W741" s="460"/>
      <c r="AY741" s="486" t="str">
        <f t="shared" si="44"/>
        <v/>
      </c>
      <c r="AZ741" s="487" t="str">
        <f t="shared" si="45"/>
        <v/>
      </c>
      <c r="CH741" s="459"/>
    </row>
    <row r="742" spans="1:90" s="461" customFormat="1" ht="12" customHeight="1" x14ac:dyDescent="0.15">
      <c r="A742" s="522" t="s">
        <v>3064</v>
      </c>
      <c r="B742" s="467">
        <v>42571</v>
      </c>
      <c r="C742" s="468" t="s">
        <v>2511</v>
      </c>
      <c r="D742" s="468" t="s">
        <v>5256</v>
      </c>
      <c r="E742" s="468" t="s">
        <v>4337</v>
      </c>
      <c r="F742" s="468" t="s">
        <v>2376</v>
      </c>
      <c r="G742" s="466">
        <v>1</v>
      </c>
      <c r="H742" s="465">
        <v>8</v>
      </c>
      <c r="I742" s="466"/>
      <c r="J742" s="466"/>
      <c r="K742" s="466">
        <v>6</v>
      </c>
      <c r="L742" s="506">
        <v>6</v>
      </c>
      <c r="M742" s="463">
        <v>33300</v>
      </c>
      <c r="N742" s="468" t="s">
        <v>4211</v>
      </c>
      <c r="O742" s="466">
        <v>5</v>
      </c>
      <c r="P742" s="523">
        <v>-19.5</v>
      </c>
      <c r="Q742" s="462">
        <v>1.131134259259259E-3</v>
      </c>
      <c r="R742" s="463">
        <v>999</v>
      </c>
      <c r="S742" s="466"/>
      <c r="T742" s="524"/>
      <c r="W742" s="460"/>
      <c r="AY742" s="486" t="str">
        <f t="shared" si="44"/>
        <v/>
      </c>
      <c r="AZ742" s="487" t="str">
        <f t="shared" si="45"/>
        <v/>
      </c>
      <c r="CH742" s="459"/>
    </row>
    <row r="743" spans="1:90" s="461" customFormat="1" ht="12" customHeight="1" x14ac:dyDescent="0.15">
      <c r="A743" s="522" t="s">
        <v>2365</v>
      </c>
      <c r="B743" s="467">
        <v>42571</v>
      </c>
      <c r="C743" s="468" t="s">
        <v>5288</v>
      </c>
      <c r="D743" s="468" t="s">
        <v>5247</v>
      </c>
      <c r="E743" s="468" t="s">
        <v>5289</v>
      </c>
      <c r="F743" s="468" t="s">
        <v>5290</v>
      </c>
      <c r="G743" s="466">
        <v>3</v>
      </c>
      <c r="H743" s="465">
        <v>7</v>
      </c>
      <c r="I743" s="466"/>
      <c r="J743" s="466"/>
      <c r="K743" s="466">
        <v>9</v>
      </c>
      <c r="L743" s="506">
        <v>20</v>
      </c>
      <c r="M743" s="463">
        <v>21000</v>
      </c>
      <c r="N743" s="468" t="s">
        <v>4665</v>
      </c>
      <c r="O743" s="466">
        <v>8</v>
      </c>
      <c r="P743" s="523">
        <v>31.75</v>
      </c>
      <c r="Q743" s="462">
        <v>9.6250000000000014E-4</v>
      </c>
      <c r="R743" s="463">
        <v>345</v>
      </c>
      <c r="S743" s="466"/>
      <c r="T743" s="524"/>
      <c r="W743" s="460"/>
      <c r="AY743" s="486" t="str">
        <f t="shared" si="44"/>
        <v/>
      </c>
      <c r="AZ743" s="487" t="str">
        <f t="shared" si="45"/>
        <v/>
      </c>
      <c r="CH743" s="459"/>
    </row>
    <row r="744" spans="1:90" s="469" customFormat="1" ht="12" customHeight="1" x14ac:dyDescent="0.15">
      <c r="A744" s="444" t="s">
        <v>2278</v>
      </c>
      <c r="B744" s="445">
        <v>42571</v>
      </c>
      <c r="C744" s="446" t="s">
        <v>4747</v>
      </c>
      <c r="D744" s="446" t="s">
        <v>4742</v>
      </c>
      <c r="E744" s="446" t="s">
        <v>4968</v>
      </c>
      <c r="F744" s="446" t="s">
        <v>4828</v>
      </c>
      <c r="G744" s="447">
        <v>7</v>
      </c>
      <c r="H744" s="448">
        <v>5.5</v>
      </c>
      <c r="I744" s="447" t="s">
        <v>1360</v>
      </c>
      <c r="J744" s="447"/>
      <c r="K744" s="447">
        <v>7</v>
      </c>
      <c r="L744" s="449">
        <v>6</v>
      </c>
      <c r="M744" s="450">
        <v>27000</v>
      </c>
      <c r="N744" s="446" t="s">
        <v>4211</v>
      </c>
      <c r="O744" s="447">
        <v>1</v>
      </c>
      <c r="P744" s="451" t="s">
        <v>4203</v>
      </c>
      <c r="Q744" s="452">
        <v>7.5590277777777776E-4</v>
      </c>
      <c r="R744" s="450">
        <v>16200</v>
      </c>
      <c r="S744" s="447"/>
      <c r="T744" s="453"/>
      <c r="U744" s="454"/>
      <c r="V744" s="454"/>
      <c r="W744" s="455"/>
      <c r="X744" s="454"/>
      <c r="Y744" s="454"/>
      <c r="Z744" s="454"/>
      <c r="AA744" s="454"/>
      <c r="AB744" s="454"/>
      <c r="AC744" s="454"/>
      <c r="AD744" s="454"/>
      <c r="AE744" s="454"/>
      <c r="AF744" s="454"/>
      <c r="AG744" s="454"/>
      <c r="AH744" s="454"/>
      <c r="AI744" s="454"/>
      <c r="AJ744" s="454"/>
      <c r="AK744" s="454"/>
      <c r="AL744" s="454"/>
      <c r="AM744" s="454"/>
      <c r="AN744" s="454"/>
      <c r="AO744" s="454"/>
      <c r="AP744" s="454"/>
      <c r="AQ744" s="454"/>
      <c r="AR744" s="454"/>
      <c r="AS744" s="454"/>
      <c r="AT744" s="454"/>
      <c r="AU744" s="454"/>
      <c r="AV744" s="454"/>
      <c r="AW744" s="454"/>
      <c r="AX744" s="454"/>
      <c r="AY744" s="486" t="str">
        <f t="shared" si="44"/>
        <v/>
      </c>
      <c r="AZ744" s="487">
        <f t="shared" si="45"/>
        <v>1</v>
      </c>
      <c r="BA744" s="454"/>
      <c r="BB744" s="454"/>
      <c r="BC744" s="454"/>
      <c r="BD744" s="454"/>
      <c r="BE744" s="454"/>
      <c r="BF744" s="454"/>
      <c r="BG744" s="454"/>
      <c r="BH744" s="454"/>
      <c r="BI744" s="454"/>
      <c r="BJ744" s="454"/>
      <c r="BK744" s="454"/>
      <c r="BL744" s="454"/>
      <c r="BM744" s="454"/>
      <c r="BN744" s="454"/>
      <c r="BO744" s="454"/>
      <c r="BP744" s="454"/>
      <c r="BQ744" s="454"/>
      <c r="BR744" s="454"/>
      <c r="BS744" s="454"/>
      <c r="BT744" s="454"/>
      <c r="BU744" s="454"/>
      <c r="BV744" s="454"/>
      <c r="BW744" s="454"/>
      <c r="BX744" s="454"/>
      <c r="BY744" s="454"/>
      <c r="BZ744" s="454"/>
      <c r="CA744" s="454"/>
      <c r="CB744" s="454"/>
      <c r="CC744" s="454"/>
      <c r="CD744" s="454"/>
      <c r="CE744" s="454"/>
      <c r="CF744" s="454"/>
      <c r="CG744" s="454"/>
      <c r="CH744" s="456"/>
      <c r="CI744" s="454"/>
      <c r="CJ744" s="454"/>
      <c r="CK744" s="454"/>
      <c r="CL744" s="454"/>
    </row>
    <row r="745" spans="1:90" s="461" customFormat="1" ht="12" customHeight="1" x14ac:dyDescent="0.15">
      <c r="A745" s="522" t="s">
        <v>3645</v>
      </c>
      <c r="B745" s="467">
        <v>42571</v>
      </c>
      <c r="C745" s="468" t="s">
        <v>5044</v>
      </c>
      <c r="D745" s="468" t="s">
        <v>5045</v>
      </c>
      <c r="E745" s="468" t="s">
        <v>4993</v>
      </c>
      <c r="F745" s="468" t="s">
        <v>4828</v>
      </c>
      <c r="G745" s="466">
        <v>8</v>
      </c>
      <c r="H745" s="465">
        <v>8.5</v>
      </c>
      <c r="I745" s="466" t="s">
        <v>1360</v>
      </c>
      <c r="J745" s="466"/>
      <c r="K745" s="466">
        <v>9</v>
      </c>
      <c r="L745" s="506">
        <v>15</v>
      </c>
      <c r="M745" s="463">
        <v>10000</v>
      </c>
      <c r="N745" s="468" t="s">
        <v>5190</v>
      </c>
      <c r="O745" s="466">
        <v>8</v>
      </c>
      <c r="P745" s="523">
        <v>-22.25</v>
      </c>
      <c r="Q745" s="462">
        <v>1.2390046296296296E-3</v>
      </c>
      <c r="R745" s="463">
        <v>200</v>
      </c>
      <c r="S745" s="466"/>
      <c r="T745" s="524"/>
      <c r="W745" s="460"/>
      <c r="AY745" s="486" t="str">
        <f t="shared" si="44"/>
        <v/>
      </c>
      <c r="AZ745" s="487" t="str">
        <f t="shared" si="45"/>
        <v/>
      </c>
      <c r="CH745" s="459"/>
    </row>
    <row r="746" spans="1:90" s="469" customFormat="1" ht="12" customHeight="1" x14ac:dyDescent="0.15">
      <c r="A746" s="471" t="s">
        <v>351</v>
      </c>
      <c r="B746" s="472">
        <v>42571</v>
      </c>
      <c r="C746" s="471" t="s">
        <v>4845</v>
      </c>
      <c r="D746" s="471" t="s">
        <v>4841</v>
      </c>
      <c r="E746" s="471" t="s">
        <v>4842</v>
      </c>
      <c r="F746" s="471" t="s">
        <v>4843</v>
      </c>
      <c r="G746" s="473">
        <v>5</v>
      </c>
      <c r="H746" s="474">
        <v>6</v>
      </c>
      <c r="I746" s="475"/>
      <c r="J746" s="475"/>
      <c r="K746" s="473">
        <v>7</v>
      </c>
      <c r="L746" s="458">
        <v>4</v>
      </c>
      <c r="M746" s="476">
        <v>5862</v>
      </c>
      <c r="N746" s="471" t="s">
        <v>5087</v>
      </c>
      <c r="O746" s="477" t="s">
        <v>431</v>
      </c>
      <c r="P746" s="478" t="s">
        <v>431</v>
      </c>
      <c r="Q746" s="479" t="s">
        <v>431</v>
      </c>
      <c r="R746" s="480" t="s">
        <v>431</v>
      </c>
      <c r="S746" s="477"/>
      <c r="T746" s="481" t="s">
        <v>5300</v>
      </c>
      <c r="U746" s="482"/>
      <c r="V746" s="482"/>
      <c r="W746" s="483"/>
      <c r="X746" s="482"/>
      <c r="Y746" s="482"/>
      <c r="Z746" s="482"/>
      <c r="AA746" s="482"/>
      <c r="AB746" s="482"/>
      <c r="AC746" s="482"/>
      <c r="AD746" s="482"/>
      <c r="AE746" s="482"/>
      <c r="AF746" s="482"/>
      <c r="AG746" s="482"/>
      <c r="AH746" s="482"/>
      <c r="AI746" s="482"/>
      <c r="AJ746" s="482"/>
      <c r="AK746" s="482"/>
      <c r="AL746" s="482"/>
      <c r="AM746" s="482"/>
      <c r="AN746" s="482"/>
      <c r="AO746" s="482"/>
      <c r="AP746" s="482"/>
      <c r="AQ746" s="482"/>
      <c r="AR746" s="482"/>
      <c r="AS746" s="482"/>
      <c r="AT746" s="482"/>
      <c r="AU746" s="482"/>
      <c r="AV746" s="482"/>
      <c r="AW746" s="482"/>
      <c r="AX746" s="482"/>
      <c r="AY746" s="486" t="str">
        <f t="shared" si="44"/>
        <v/>
      </c>
      <c r="AZ746" s="487" t="str">
        <f t="shared" si="45"/>
        <v/>
      </c>
      <c r="BA746" s="482"/>
      <c r="BB746" s="482"/>
      <c r="BC746" s="482"/>
      <c r="BD746" s="482"/>
      <c r="BE746" s="482"/>
      <c r="BF746" s="482"/>
      <c r="BG746" s="482"/>
      <c r="BH746" s="482"/>
      <c r="BI746" s="482"/>
      <c r="BJ746" s="482"/>
      <c r="BK746" s="482"/>
      <c r="BL746" s="482"/>
      <c r="BM746" s="482"/>
      <c r="BN746" s="482"/>
      <c r="BO746" s="482"/>
      <c r="BP746" s="482"/>
      <c r="BQ746" s="482"/>
      <c r="BR746" s="482"/>
      <c r="BS746" s="482"/>
      <c r="BT746" s="482"/>
      <c r="BU746" s="482"/>
      <c r="BV746" s="482"/>
      <c r="BW746" s="482"/>
      <c r="BX746" s="482"/>
      <c r="BY746" s="482"/>
      <c r="BZ746" s="482"/>
      <c r="CA746" s="482"/>
      <c r="CB746" s="482"/>
      <c r="CC746" s="482"/>
      <c r="CD746" s="482"/>
      <c r="CE746" s="482"/>
      <c r="CF746" s="482"/>
      <c r="CG746" s="482"/>
      <c r="CH746" s="484"/>
    </row>
    <row r="747" spans="1:90" s="461" customFormat="1" ht="12" customHeight="1" x14ac:dyDescent="0.15">
      <c r="A747" s="522" t="s">
        <v>2178</v>
      </c>
      <c r="B747" s="467">
        <v>42572</v>
      </c>
      <c r="C747" s="468" t="s">
        <v>5146</v>
      </c>
      <c r="D747" s="468" t="s">
        <v>5280</v>
      </c>
      <c r="E747" s="468" t="s">
        <v>5046</v>
      </c>
      <c r="F747" s="468" t="s">
        <v>4828</v>
      </c>
      <c r="G747" s="466">
        <v>2</v>
      </c>
      <c r="H747" s="465">
        <v>6.5</v>
      </c>
      <c r="I747" s="466" t="s">
        <v>1360</v>
      </c>
      <c r="J747" s="466"/>
      <c r="K747" s="466">
        <v>8</v>
      </c>
      <c r="L747" s="525">
        <v>6</v>
      </c>
      <c r="M747" s="463">
        <v>13000</v>
      </c>
      <c r="N747" s="468" t="s">
        <v>4924</v>
      </c>
      <c r="O747" s="466">
        <v>3</v>
      </c>
      <c r="P747" s="523">
        <v>-2.75</v>
      </c>
      <c r="Q747" s="462">
        <v>9.0659722222222216E-4</v>
      </c>
      <c r="R747" s="463">
        <v>1690</v>
      </c>
      <c r="S747" s="466"/>
      <c r="T747" s="524"/>
      <c r="W747" s="460"/>
      <c r="AY747" s="486" t="str">
        <f t="shared" si="44"/>
        <v/>
      </c>
      <c r="AZ747" s="487" t="str">
        <f t="shared" si="45"/>
        <v/>
      </c>
      <c r="CH747" s="459"/>
    </row>
    <row r="748" spans="1:90" s="469" customFormat="1" ht="12" customHeight="1" x14ac:dyDescent="0.15">
      <c r="A748" s="444" t="s">
        <v>1557</v>
      </c>
      <c r="B748" s="445">
        <v>42572</v>
      </c>
      <c r="C748" s="446" t="s">
        <v>4250</v>
      </c>
      <c r="D748" s="446" t="s">
        <v>4247</v>
      </c>
      <c r="E748" s="446" t="s">
        <v>5029</v>
      </c>
      <c r="F748" s="446" t="s">
        <v>256</v>
      </c>
      <c r="G748" s="447">
        <v>6</v>
      </c>
      <c r="H748" s="448">
        <v>5</v>
      </c>
      <c r="I748" s="447"/>
      <c r="J748" s="447"/>
      <c r="K748" s="447">
        <v>7</v>
      </c>
      <c r="L748" s="449">
        <v>5</v>
      </c>
      <c r="M748" s="450">
        <v>11000</v>
      </c>
      <c r="N748" s="446" t="s">
        <v>197</v>
      </c>
      <c r="O748" s="447">
        <v>1</v>
      </c>
      <c r="P748" s="451">
        <v>1</v>
      </c>
      <c r="Q748" s="452">
        <v>6.7881944444444446E-4</v>
      </c>
      <c r="R748" s="450">
        <v>6480</v>
      </c>
      <c r="S748" s="447"/>
      <c r="T748" s="453"/>
      <c r="U748" s="454"/>
      <c r="V748" s="454"/>
      <c r="W748" s="455"/>
      <c r="X748" s="454"/>
      <c r="Y748" s="454"/>
      <c r="Z748" s="454"/>
      <c r="AA748" s="454"/>
      <c r="AB748" s="454"/>
      <c r="AC748" s="454"/>
      <c r="AD748" s="454"/>
      <c r="AE748" s="454"/>
      <c r="AF748" s="454"/>
      <c r="AG748" s="454"/>
      <c r="AH748" s="454"/>
      <c r="AI748" s="454"/>
      <c r="AJ748" s="454"/>
      <c r="AK748" s="454"/>
      <c r="AL748" s="454"/>
      <c r="AM748" s="454"/>
      <c r="AN748" s="454"/>
      <c r="AO748" s="454"/>
      <c r="AP748" s="454"/>
      <c r="AQ748" s="454"/>
      <c r="AR748" s="454"/>
      <c r="AS748" s="454"/>
      <c r="AT748" s="454"/>
      <c r="AU748" s="454"/>
      <c r="AV748" s="454"/>
      <c r="AW748" s="454"/>
      <c r="AX748" s="454"/>
      <c r="AY748" s="486" t="str">
        <f t="shared" si="44"/>
        <v/>
      </c>
      <c r="AZ748" s="487">
        <f t="shared" si="45"/>
        <v>1</v>
      </c>
      <c r="BA748" s="454"/>
      <c r="BB748" s="454"/>
      <c r="BC748" s="454"/>
      <c r="BD748" s="454"/>
      <c r="BE748" s="454"/>
      <c r="BF748" s="454"/>
      <c r="BG748" s="454"/>
      <c r="BH748" s="454"/>
      <c r="BI748" s="454"/>
      <c r="BJ748" s="454"/>
      <c r="BK748" s="454"/>
      <c r="BL748" s="454"/>
      <c r="BM748" s="454"/>
      <c r="BN748" s="454"/>
      <c r="BO748" s="454"/>
      <c r="BP748" s="454"/>
      <c r="BQ748" s="454"/>
      <c r="BR748" s="454"/>
      <c r="BS748" s="454"/>
      <c r="BT748" s="454"/>
      <c r="BU748" s="454"/>
      <c r="BV748" s="454"/>
      <c r="BW748" s="454"/>
      <c r="BX748" s="454"/>
      <c r="BY748" s="454"/>
      <c r="BZ748" s="454"/>
      <c r="CA748" s="454"/>
      <c r="CB748" s="454"/>
      <c r="CC748" s="454"/>
      <c r="CD748" s="454"/>
      <c r="CE748" s="454"/>
      <c r="CF748" s="454"/>
      <c r="CG748" s="454"/>
      <c r="CH748" s="456"/>
      <c r="CI748" s="454"/>
      <c r="CJ748" s="454"/>
      <c r="CK748" s="454"/>
      <c r="CL748" s="454"/>
    </row>
    <row r="749" spans="1:90" s="461" customFormat="1" ht="12" customHeight="1" x14ac:dyDescent="0.15">
      <c r="A749" s="522" t="s">
        <v>3333</v>
      </c>
      <c r="B749" s="467">
        <v>42573</v>
      </c>
      <c r="C749" s="468" t="s">
        <v>4956</v>
      </c>
      <c r="D749" s="468" t="s">
        <v>4957</v>
      </c>
      <c r="E749" s="468" t="s">
        <v>4978</v>
      </c>
      <c r="F749" s="468" t="s">
        <v>5049</v>
      </c>
      <c r="G749" s="466">
        <v>4</v>
      </c>
      <c r="H749" s="465">
        <v>8.5</v>
      </c>
      <c r="I749" s="466" t="s">
        <v>3730</v>
      </c>
      <c r="J749" s="466"/>
      <c r="K749" s="466">
        <v>10</v>
      </c>
      <c r="L749" s="506">
        <v>3</v>
      </c>
      <c r="M749" s="463">
        <v>25241</v>
      </c>
      <c r="N749" s="468" t="s">
        <v>4597</v>
      </c>
      <c r="O749" s="466">
        <v>7</v>
      </c>
      <c r="P749" s="523">
        <v>-10.5</v>
      </c>
      <c r="Q749" s="462">
        <v>1.1629629629629629E-3</v>
      </c>
      <c r="R749" s="463">
        <v>306</v>
      </c>
      <c r="S749" s="466"/>
      <c r="T749" s="524" t="s">
        <v>3714</v>
      </c>
      <c r="W749" s="460"/>
      <c r="AY749" s="486" t="str">
        <f t="shared" ref="AY749:AY765" si="46">IF(S749="","",R749)</f>
        <v/>
      </c>
      <c r="AZ749" s="487" t="str">
        <f t="shared" ref="AZ749:AZ765" si="47">IF(F749="Pleasant Meadows","",IF(L749="","",IF(O749="--","",IF(O749=1,1,""))))</f>
        <v/>
      </c>
      <c r="CH749" s="459"/>
    </row>
    <row r="750" spans="1:90" s="461" customFormat="1" ht="12" customHeight="1" x14ac:dyDescent="0.15">
      <c r="A750" s="522" t="s">
        <v>2480</v>
      </c>
      <c r="B750" s="467">
        <v>42573</v>
      </c>
      <c r="C750" s="468" t="s">
        <v>3992</v>
      </c>
      <c r="D750" s="468" t="s">
        <v>3990</v>
      </c>
      <c r="E750" s="468" t="s">
        <v>4034</v>
      </c>
      <c r="F750" s="468" t="s">
        <v>540</v>
      </c>
      <c r="G750" s="466">
        <v>7</v>
      </c>
      <c r="H750" s="465">
        <v>6.5</v>
      </c>
      <c r="I750" s="466"/>
      <c r="J750" s="466"/>
      <c r="K750" s="466">
        <v>13</v>
      </c>
      <c r="L750" s="506">
        <v>12</v>
      </c>
      <c r="M750" s="463">
        <v>19000</v>
      </c>
      <c r="N750" s="468" t="s">
        <v>4305</v>
      </c>
      <c r="O750" s="466">
        <v>6</v>
      </c>
      <c r="P750" s="523">
        <v>-19</v>
      </c>
      <c r="Q750" s="462">
        <v>8.9467592592592593E-4</v>
      </c>
      <c r="R750" s="463">
        <v>170</v>
      </c>
      <c r="S750" s="466"/>
      <c r="T750" s="524"/>
      <c r="W750" s="460"/>
      <c r="AY750" s="486" t="str">
        <f t="shared" si="46"/>
        <v/>
      </c>
      <c r="AZ750" s="487" t="str">
        <f t="shared" si="47"/>
        <v/>
      </c>
      <c r="CH750" s="459"/>
    </row>
    <row r="751" spans="1:90" s="461" customFormat="1" ht="12" customHeight="1" x14ac:dyDescent="0.15">
      <c r="A751" s="522" t="s">
        <v>3470</v>
      </c>
      <c r="B751" s="467">
        <v>42573</v>
      </c>
      <c r="C751" s="468" t="s">
        <v>5034</v>
      </c>
      <c r="D751" s="468" t="s">
        <v>3472</v>
      </c>
      <c r="E751" s="468" t="s">
        <v>3683</v>
      </c>
      <c r="F751" s="468" t="s">
        <v>3686</v>
      </c>
      <c r="G751" s="466">
        <v>3</v>
      </c>
      <c r="H751" s="465">
        <v>6</v>
      </c>
      <c r="I751" s="466"/>
      <c r="J751" s="466"/>
      <c r="K751" s="466">
        <v>10</v>
      </c>
      <c r="L751" s="525">
        <v>5</v>
      </c>
      <c r="M751" s="463">
        <v>4603</v>
      </c>
      <c r="N751" s="468" t="s">
        <v>5129</v>
      </c>
      <c r="O751" s="466">
        <v>5</v>
      </c>
      <c r="P751" s="523">
        <v>-10</v>
      </c>
      <c r="Q751" s="462">
        <v>8.2233796296296297E-4</v>
      </c>
      <c r="R751" s="463">
        <v>99</v>
      </c>
      <c r="S751" s="466" t="s">
        <v>625</v>
      </c>
      <c r="T751" s="524"/>
      <c r="W751" s="460"/>
      <c r="AY751" s="486">
        <f t="shared" si="46"/>
        <v>99</v>
      </c>
      <c r="AZ751" s="487" t="str">
        <f t="shared" si="47"/>
        <v/>
      </c>
      <c r="CH751" s="459"/>
    </row>
    <row r="752" spans="1:90" s="461" customFormat="1" ht="12" customHeight="1" x14ac:dyDescent="0.15">
      <c r="A752" s="522" t="s">
        <v>1710</v>
      </c>
      <c r="B752" s="467">
        <v>42573</v>
      </c>
      <c r="C752" s="468" t="s">
        <v>4789</v>
      </c>
      <c r="D752" s="468" t="s">
        <v>4790</v>
      </c>
      <c r="E752" s="468" t="s">
        <v>5296</v>
      </c>
      <c r="F752" s="468" t="s">
        <v>2376</v>
      </c>
      <c r="G752" s="466">
        <v>2</v>
      </c>
      <c r="H752" s="465">
        <v>8</v>
      </c>
      <c r="I752" s="466" t="s">
        <v>3730</v>
      </c>
      <c r="J752" s="466"/>
      <c r="K752" s="466">
        <v>6</v>
      </c>
      <c r="L752" s="525">
        <v>12</v>
      </c>
      <c r="M752" s="463">
        <v>19000</v>
      </c>
      <c r="N752" s="468" t="s">
        <v>4754</v>
      </c>
      <c r="O752" s="466">
        <v>6</v>
      </c>
      <c r="P752" s="523">
        <v>-18.75</v>
      </c>
      <c r="Q752" s="462">
        <v>1.1291666666666666E-3</v>
      </c>
      <c r="R752" s="463">
        <v>0</v>
      </c>
      <c r="S752" s="466"/>
      <c r="T752" s="524" t="s">
        <v>5316</v>
      </c>
      <c r="W752" s="460"/>
      <c r="AY752" s="486" t="str">
        <f t="shared" si="46"/>
        <v/>
      </c>
      <c r="AZ752" s="487" t="str">
        <f t="shared" si="47"/>
        <v/>
      </c>
      <c r="CH752" s="459"/>
    </row>
    <row r="753" spans="1:90" s="461" customFormat="1" ht="12" customHeight="1" x14ac:dyDescent="0.15">
      <c r="A753" s="522" t="s">
        <v>2475</v>
      </c>
      <c r="B753" s="467">
        <v>42574</v>
      </c>
      <c r="C753" s="468" t="s">
        <v>5176</v>
      </c>
      <c r="D753" s="468" t="s">
        <v>4772</v>
      </c>
      <c r="E753" s="468" t="s">
        <v>5297</v>
      </c>
      <c r="F753" s="468" t="s">
        <v>788</v>
      </c>
      <c r="G753" s="466">
        <v>2</v>
      </c>
      <c r="H753" s="465">
        <v>5.5</v>
      </c>
      <c r="I753" s="466" t="s">
        <v>3730</v>
      </c>
      <c r="J753" s="466"/>
      <c r="K753" s="466">
        <v>7</v>
      </c>
      <c r="L753" s="525">
        <v>10</v>
      </c>
      <c r="M753" s="463">
        <v>27000</v>
      </c>
      <c r="N753" s="468" t="s">
        <v>4776</v>
      </c>
      <c r="O753" s="466">
        <v>5</v>
      </c>
      <c r="P753" s="523">
        <v>-6.75</v>
      </c>
      <c r="Q753" s="462">
        <v>7.2835648148148141E-4</v>
      </c>
      <c r="R753" s="463">
        <v>810</v>
      </c>
      <c r="S753" s="466"/>
      <c r="T753" s="524" t="s">
        <v>5317</v>
      </c>
      <c r="W753" s="460"/>
      <c r="AY753" s="486" t="str">
        <f t="shared" si="46"/>
        <v/>
      </c>
      <c r="AZ753" s="487" t="str">
        <f t="shared" si="47"/>
        <v/>
      </c>
      <c r="CH753" s="459"/>
    </row>
    <row r="754" spans="1:90" s="461" customFormat="1" ht="12" customHeight="1" x14ac:dyDescent="0.15">
      <c r="A754" s="522" t="s">
        <v>3829</v>
      </c>
      <c r="B754" s="467">
        <v>42574</v>
      </c>
      <c r="C754" s="468" t="s">
        <v>2744</v>
      </c>
      <c r="D754" s="468" t="s">
        <v>3832</v>
      </c>
      <c r="E754" s="468" t="s">
        <v>4901</v>
      </c>
      <c r="F754" s="468" t="s">
        <v>3686</v>
      </c>
      <c r="G754" s="466">
        <v>1</v>
      </c>
      <c r="H754" s="465">
        <v>9</v>
      </c>
      <c r="I754" s="466"/>
      <c r="J754" s="466"/>
      <c r="K754" s="466">
        <v>9</v>
      </c>
      <c r="L754" s="525">
        <v>4</v>
      </c>
      <c r="M754" s="463">
        <v>7523</v>
      </c>
      <c r="N754" s="468" t="s">
        <v>3739</v>
      </c>
      <c r="O754" s="466">
        <v>3</v>
      </c>
      <c r="P754" s="523">
        <v>-1.25</v>
      </c>
      <c r="Q754" s="462">
        <v>1.2787037037037036E-3</v>
      </c>
      <c r="R754" s="463">
        <v>976</v>
      </c>
      <c r="S754" s="466" t="s">
        <v>625</v>
      </c>
      <c r="T754" s="524" t="s">
        <v>3755</v>
      </c>
      <c r="W754" s="460"/>
      <c r="AY754" s="486">
        <f t="shared" si="46"/>
        <v>976</v>
      </c>
      <c r="AZ754" s="487" t="str">
        <f t="shared" si="47"/>
        <v/>
      </c>
      <c r="CH754" s="459"/>
    </row>
    <row r="755" spans="1:90" s="461" customFormat="1" ht="12" customHeight="1" x14ac:dyDescent="0.15">
      <c r="A755" s="522" t="s">
        <v>5092</v>
      </c>
      <c r="B755" s="467">
        <v>42574</v>
      </c>
      <c r="C755" s="468" t="s">
        <v>2559</v>
      </c>
      <c r="D755" s="468" t="s">
        <v>3942</v>
      </c>
      <c r="E755" s="468" t="s">
        <v>4992</v>
      </c>
      <c r="F755" s="468" t="s">
        <v>3686</v>
      </c>
      <c r="G755" s="466">
        <v>4</v>
      </c>
      <c r="H755" s="465">
        <v>6</v>
      </c>
      <c r="I755" s="466"/>
      <c r="J755" s="466"/>
      <c r="K755" s="466">
        <v>10</v>
      </c>
      <c r="L755" s="525">
        <f>7/2</f>
        <v>3.5</v>
      </c>
      <c r="M755" s="463">
        <v>8253</v>
      </c>
      <c r="N755" s="468" t="s">
        <v>3225</v>
      </c>
      <c r="O755" s="466">
        <v>3</v>
      </c>
      <c r="P755" s="523">
        <v>-1</v>
      </c>
      <c r="Q755" s="462">
        <v>8.2858796296296294E-4</v>
      </c>
      <c r="R755" s="463">
        <v>1070</v>
      </c>
      <c r="S755" s="466" t="s">
        <v>625</v>
      </c>
      <c r="T755" s="524" t="s">
        <v>3755</v>
      </c>
      <c r="W755" s="460"/>
      <c r="AY755" s="486">
        <f t="shared" si="46"/>
        <v>1070</v>
      </c>
      <c r="AZ755" s="487" t="str">
        <f t="shared" si="47"/>
        <v/>
      </c>
      <c r="CH755" s="459"/>
    </row>
    <row r="756" spans="1:90" s="461" customFormat="1" ht="12" customHeight="1" x14ac:dyDescent="0.15">
      <c r="A756" s="522" t="s">
        <v>3266</v>
      </c>
      <c r="B756" s="467">
        <v>42574</v>
      </c>
      <c r="C756" s="468" t="s">
        <v>4333</v>
      </c>
      <c r="D756" s="468" t="s">
        <v>3705</v>
      </c>
      <c r="E756" s="468" t="s">
        <v>5318</v>
      </c>
      <c r="F756" s="468" t="s">
        <v>4171</v>
      </c>
      <c r="G756" s="466">
        <v>9</v>
      </c>
      <c r="H756" s="465">
        <v>8.5</v>
      </c>
      <c r="I756" s="466" t="s">
        <v>3730</v>
      </c>
      <c r="J756" s="466"/>
      <c r="K756" s="466">
        <v>7</v>
      </c>
      <c r="L756" s="506">
        <v>15</v>
      </c>
      <c r="M756" s="463">
        <v>100000</v>
      </c>
      <c r="N756" s="468" t="s">
        <v>5254</v>
      </c>
      <c r="O756" s="466">
        <v>3</v>
      </c>
      <c r="P756" s="523">
        <v>5.75</v>
      </c>
      <c r="Q756" s="462">
        <v>1.2091435185185185E-3</v>
      </c>
      <c r="R756" s="463">
        <v>11000</v>
      </c>
      <c r="S756" s="466"/>
      <c r="T756" s="524"/>
      <c r="W756" s="460"/>
      <c r="AY756" s="486" t="str">
        <f t="shared" si="46"/>
        <v/>
      </c>
      <c r="AZ756" s="487" t="str">
        <f t="shared" si="47"/>
        <v/>
      </c>
      <c r="CH756" s="459"/>
    </row>
    <row r="757" spans="1:90" s="469" customFormat="1" ht="12" customHeight="1" x14ac:dyDescent="0.15">
      <c r="A757" s="444" t="s">
        <v>36</v>
      </c>
      <c r="B757" s="445">
        <v>42574</v>
      </c>
      <c r="C757" s="446" t="s">
        <v>4563</v>
      </c>
      <c r="D757" s="446" t="s">
        <v>4564</v>
      </c>
      <c r="E757" s="446" t="s">
        <v>5294</v>
      </c>
      <c r="F757" s="446" t="s">
        <v>256</v>
      </c>
      <c r="G757" s="447">
        <v>7</v>
      </c>
      <c r="H757" s="448">
        <v>6</v>
      </c>
      <c r="I757" s="447"/>
      <c r="J757" s="447"/>
      <c r="K757" s="447">
        <v>8</v>
      </c>
      <c r="L757" s="449">
        <v>4</v>
      </c>
      <c r="M757" s="450">
        <v>11000</v>
      </c>
      <c r="N757" s="446" t="s">
        <v>197</v>
      </c>
      <c r="O757" s="447">
        <v>1</v>
      </c>
      <c r="P757" s="451" t="s">
        <v>4378</v>
      </c>
      <c r="Q757" s="452">
        <v>8.2187500000000001E-4</v>
      </c>
      <c r="R757" s="450">
        <v>6420</v>
      </c>
      <c r="S757" s="447"/>
      <c r="T757" s="453"/>
      <c r="U757" s="454"/>
      <c r="V757" s="454"/>
      <c r="W757" s="455"/>
      <c r="X757" s="454"/>
      <c r="Y757" s="454"/>
      <c r="Z757" s="454"/>
      <c r="AA757" s="454"/>
      <c r="AB757" s="454"/>
      <c r="AC757" s="454"/>
      <c r="AD757" s="454"/>
      <c r="AE757" s="454"/>
      <c r="AF757" s="454"/>
      <c r="AG757" s="454"/>
      <c r="AH757" s="454"/>
      <c r="AI757" s="454"/>
      <c r="AJ757" s="454"/>
      <c r="AK757" s="454"/>
      <c r="AL757" s="454"/>
      <c r="AM757" s="454"/>
      <c r="AN757" s="454"/>
      <c r="AO757" s="454"/>
      <c r="AP757" s="454"/>
      <c r="AQ757" s="454"/>
      <c r="AR757" s="454"/>
      <c r="AS757" s="454"/>
      <c r="AT757" s="454"/>
      <c r="AU757" s="454"/>
      <c r="AV757" s="454"/>
      <c r="AW757" s="454"/>
      <c r="AX757" s="454"/>
      <c r="AY757" s="486" t="str">
        <f t="shared" si="46"/>
        <v/>
      </c>
      <c r="AZ757" s="487">
        <f t="shared" si="47"/>
        <v>1</v>
      </c>
      <c r="BA757" s="454"/>
      <c r="BB757" s="454"/>
      <c r="BC757" s="454"/>
      <c r="BD757" s="454"/>
      <c r="BE757" s="454"/>
      <c r="BF757" s="454"/>
      <c r="BG757" s="454"/>
      <c r="BH757" s="454"/>
      <c r="BI757" s="454"/>
      <c r="BJ757" s="454"/>
      <c r="BK757" s="454"/>
      <c r="BL757" s="454"/>
      <c r="BM757" s="454"/>
      <c r="BN757" s="454"/>
      <c r="BO757" s="454"/>
      <c r="BP757" s="454"/>
      <c r="BQ757" s="454"/>
      <c r="BR757" s="454"/>
      <c r="BS757" s="454"/>
      <c r="BT757" s="454"/>
      <c r="BU757" s="454"/>
      <c r="BV757" s="454"/>
      <c r="BW757" s="454"/>
      <c r="BX757" s="454"/>
      <c r="BY757" s="454"/>
      <c r="BZ757" s="454"/>
      <c r="CA757" s="454"/>
      <c r="CB757" s="454"/>
      <c r="CC757" s="454"/>
      <c r="CD757" s="454"/>
      <c r="CE757" s="454"/>
      <c r="CF757" s="454"/>
      <c r="CG757" s="454"/>
      <c r="CH757" s="456"/>
      <c r="CI757" s="454"/>
      <c r="CJ757" s="454"/>
      <c r="CK757" s="454"/>
      <c r="CL757" s="454"/>
    </row>
    <row r="758" spans="1:90" s="461" customFormat="1" ht="12" customHeight="1" x14ac:dyDescent="0.15">
      <c r="A758" s="522" t="s">
        <v>3607</v>
      </c>
      <c r="B758" s="467">
        <v>42574</v>
      </c>
      <c r="C758" s="468" t="s">
        <v>3704</v>
      </c>
      <c r="D758" s="468" t="s">
        <v>3705</v>
      </c>
      <c r="E758" s="468" t="s">
        <v>3856</v>
      </c>
      <c r="F758" s="468" t="s">
        <v>2376</v>
      </c>
      <c r="G758" s="466">
        <v>1</v>
      </c>
      <c r="H758" s="465">
        <v>5</v>
      </c>
      <c r="I758" s="466"/>
      <c r="J758" s="466"/>
      <c r="K758" s="466">
        <v>7</v>
      </c>
      <c r="L758" s="506">
        <f>7/2</f>
        <v>3.5</v>
      </c>
      <c r="M758" s="463">
        <v>33300</v>
      </c>
      <c r="N758" s="468" t="s">
        <v>5302</v>
      </c>
      <c r="O758" s="466">
        <v>7</v>
      </c>
      <c r="P758" s="523">
        <v>-19.5</v>
      </c>
      <c r="Q758" s="462">
        <v>6.9814814814814826E-4</v>
      </c>
      <c r="R758" s="463">
        <v>0</v>
      </c>
      <c r="S758" s="466"/>
      <c r="T758" s="524" t="s">
        <v>3755</v>
      </c>
      <c r="W758" s="460"/>
      <c r="AY758" s="486" t="str">
        <f t="shared" si="46"/>
        <v/>
      </c>
      <c r="AZ758" s="487" t="str">
        <f t="shared" si="47"/>
        <v/>
      </c>
      <c r="CH758" s="459"/>
    </row>
    <row r="759" spans="1:90" s="461" customFormat="1" ht="12" customHeight="1" x14ac:dyDescent="0.15">
      <c r="A759" s="522" t="s">
        <v>4062</v>
      </c>
      <c r="B759" s="467">
        <v>42574</v>
      </c>
      <c r="C759" s="468" t="s">
        <v>2744</v>
      </c>
      <c r="D759" s="468" t="s">
        <v>3298</v>
      </c>
      <c r="E759" s="468" t="s">
        <v>5149</v>
      </c>
      <c r="F759" s="468" t="s">
        <v>3686</v>
      </c>
      <c r="G759" s="466">
        <v>11</v>
      </c>
      <c r="H759" s="465">
        <v>6</v>
      </c>
      <c r="I759" s="466"/>
      <c r="J759" s="466"/>
      <c r="K759" s="466">
        <v>12</v>
      </c>
      <c r="L759" s="506">
        <v>5</v>
      </c>
      <c r="M759" s="463">
        <v>5442</v>
      </c>
      <c r="N759" s="468" t="s">
        <v>3739</v>
      </c>
      <c r="O759" s="466">
        <v>8</v>
      </c>
      <c r="P759" s="523">
        <v>-5.75</v>
      </c>
      <c r="Q759" s="462">
        <v>8.2395833333333334E-4</v>
      </c>
      <c r="R759" s="463">
        <v>99</v>
      </c>
      <c r="S759" s="466" t="s">
        <v>625</v>
      </c>
      <c r="T759" s="524"/>
      <c r="W759" s="460"/>
      <c r="AY759" s="486">
        <f t="shared" si="46"/>
        <v>99</v>
      </c>
      <c r="AZ759" s="487" t="str">
        <f t="shared" si="47"/>
        <v/>
      </c>
      <c r="CH759" s="459"/>
    </row>
    <row r="760" spans="1:90" s="461" customFormat="1" ht="12" customHeight="1" x14ac:dyDescent="0.15">
      <c r="A760" s="522" t="s">
        <v>5136</v>
      </c>
      <c r="B760" s="467">
        <v>42574</v>
      </c>
      <c r="C760" s="468" t="s">
        <v>5138</v>
      </c>
      <c r="D760" s="468" t="s">
        <v>3942</v>
      </c>
      <c r="E760" s="468" t="s">
        <v>4299</v>
      </c>
      <c r="F760" s="468" t="s">
        <v>3686</v>
      </c>
      <c r="G760" s="466">
        <v>11</v>
      </c>
      <c r="H760" s="465">
        <v>6</v>
      </c>
      <c r="I760" s="466"/>
      <c r="J760" s="466"/>
      <c r="K760" s="466">
        <v>12</v>
      </c>
      <c r="L760" s="506">
        <v>3</v>
      </c>
      <c r="M760" s="463">
        <v>5442</v>
      </c>
      <c r="N760" s="468" t="s">
        <v>3739</v>
      </c>
      <c r="O760" s="466">
        <v>9</v>
      </c>
      <c r="P760" s="523">
        <v>-7.25</v>
      </c>
      <c r="Q760" s="462">
        <v>8.2395833333333334E-4</v>
      </c>
      <c r="R760" s="463">
        <v>99</v>
      </c>
      <c r="S760" s="466" t="s">
        <v>625</v>
      </c>
      <c r="T760" s="524" t="s">
        <v>4253</v>
      </c>
      <c r="W760" s="460"/>
      <c r="AY760" s="486">
        <f t="shared" si="46"/>
        <v>99</v>
      </c>
      <c r="AZ760" s="487" t="str">
        <f t="shared" si="47"/>
        <v/>
      </c>
      <c r="CH760" s="459"/>
    </row>
    <row r="761" spans="1:90" s="461" customFormat="1" ht="12" customHeight="1" x14ac:dyDescent="0.15">
      <c r="A761" s="522" t="s">
        <v>1783</v>
      </c>
      <c r="B761" s="467">
        <v>42575</v>
      </c>
      <c r="C761" s="468" t="s">
        <v>5301</v>
      </c>
      <c r="D761" s="468" t="s">
        <v>4872</v>
      </c>
      <c r="E761" s="468" t="s">
        <v>4675</v>
      </c>
      <c r="F761" s="468" t="s">
        <v>4677</v>
      </c>
      <c r="G761" s="466">
        <v>2</v>
      </c>
      <c r="H761" s="465">
        <v>7</v>
      </c>
      <c r="I761" s="466"/>
      <c r="J761" s="466"/>
      <c r="K761" s="466">
        <v>3</v>
      </c>
      <c r="L761" s="464" t="s">
        <v>431</v>
      </c>
      <c r="M761" s="463">
        <v>156</v>
      </c>
      <c r="N761" s="468" t="s">
        <v>4296</v>
      </c>
      <c r="O761" s="466">
        <v>3</v>
      </c>
      <c r="P761" s="523">
        <v>-15</v>
      </c>
      <c r="Q761" s="462">
        <v>1.0266203703703702E-3</v>
      </c>
      <c r="R761" s="463">
        <v>31</v>
      </c>
      <c r="S761" s="466" t="s">
        <v>625</v>
      </c>
      <c r="T761" s="524"/>
      <c r="W761" s="460"/>
      <c r="AY761" s="486">
        <f t="shared" si="46"/>
        <v>31</v>
      </c>
      <c r="AZ761" s="487" t="str">
        <f t="shared" si="47"/>
        <v/>
      </c>
      <c r="CH761" s="459"/>
    </row>
    <row r="762" spans="1:90" s="469" customFormat="1" ht="12" customHeight="1" x14ac:dyDescent="0.15">
      <c r="A762" s="444" t="s">
        <v>3426</v>
      </c>
      <c r="B762" s="445">
        <v>42575</v>
      </c>
      <c r="C762" s="446" t="s">
        <v>3655</v>
      </c>
      <c r="D762" s="446" t="s">
        <v>3298</v>
      </c>
      <c r="E762" s="446" t="s">
        <v>3699</v>
      </c>
      <c r="F762" s="446" t="s">
        <v>3685</v>
      </c>
      <c r="G762" s="447">
        <v>6</v>
      </c>
      <c r="H762" s="448">
        <v>7</v>
      </c>
      <c r="I762" s="447"/>
      <c r="J762" s="447"/>
      <c r="K762" s="447">
        <v>11</v>
      </c>
      <c r="L762" s="449">
        <v>5</v>
      </c>
      <c r="M762" s="450">
        <v>2817</v>
      </c>
      <c r="N762" s="446" t="s">
        <v>5185</v>
      </c>
      <c r="O762" s="447">
        <v>1</v>
      </c>
      <c r="P762" s="451" t="s">
        <v>4378</v>
      </c>
      <c r="Q762" s="452">
        <v>1.080324074074074E-3</v>
      </c>
      <c r="R762" s="450">
        <v>1686</v>
      </c>
      <c r="S762" s="447" t="s">
        <v>625</v>
      </c>
      <c r="T762" s="453"/>
      <c r="U762" s="454"/>
      <c r="V762" s="454"/>
      <c r="W762" s="455"/>
      <c r="X762" s="454"/>
      <c r="Y762" s="454"/>
      <c r="Z762" s="454"/>
      <c r="AA762" s="454"/>
      <c r="AB762" s="454"/>
      <c r="AC762" s="454"/>
      <c r="AD762" s="454"/>
      <c r="AE762" s="454"/>
      <c r="AF762" s="454"/>
      <c r="AG762" s="454"/>
      <c r="AH762" s="454"/>
      <c r="AI762" s="454"/>
      <c r="AJ762" s="454"/>
      <c r="AK762" s="454"/>
      <c r="AL762" s="454"/>
      <c r="AM762" s="454"/>
      <c r="AN762" s="454"/>
      <c r="AO762" s="454"/>
      <c r="AP762" s="454"/>
      <c r="AQ762" s="454"/>
      <c r="AR762" s="454"/>
      <c r="AS762" s="454"/>
      <c r="AT762" s="454"/>
      <c r="AU762" s="454"/>
      <c r="AV762" s="454"/>
      <c r="AW762" s="454"/>
      <c r="AX762" s="454"/>
      <c r="AY762" s="486">
        <f t="shared" si="46"/>
        <v>1686</v>
      </c>
      <c r="AZ762" s="487">
        <f t="shared" si="47"/>
        <v>1</v>
      </c>
      <c r="BA762" s="454"/>
      <c r="BB762" s="454"/>
      <c r="BC762" s="454"/>
      <c r="BD762" s="454"/>
      <c r="BE762" s="454"/>
      <c r="BF762" s="454"/>
      <c r="BG762" s="454"/>
      <c r="BH762" s="454"/>
      <c r="BI762" s="454"/>
      <c r="BJ762" s="454"/>
      <c r="BK762" s="454"/>
      <c r="BL762" s="454"/>
      <c r="BM762" s="454"/>
      <c r="BN762" s="454"/>
      <c r="BO762" s="454"/>
      <c r="BP762" s="454"/>
      <c r="BQ762" s="454"/>
      <c r="BR762" s="454"/>
      <c r="BS762" s="454"/>
      <c r="BT762" s="454"/>
      <c r="BU762" s="454"/>
      <c r="BV762" s="454"/>
      <c r="BW762" s="454"/>
      <c r="BX762" s="454"/>
      <c r="BY762" s="454"/>
      <c r="BZ762" s="454"/>
      <c r="CA762" s="454"/>
      <c r="CB762" s="454"/>
      <c r="CC762" s="454"/>
      <c r="CD762" s="454"/>
      <c r="CE762" s="454"/>
      <c r="CF762" s="454"/>
      <c r="CG762" s="454"/>
      <c r="CH762" s="456"/>
      <c r="CI762" s="454"/>
      <c r="CJ762" s="454"/>
      <c r="CK762" s="454"/>
      <c r="CL762" s="454"/>
    </row>
    <row r="763" spans="1:90" s="461" customFormat="1" ht="12" customHeight="1" x14ac:dyDescent="0.15">
      <c r="A763" s="522" t="s">
        <v>4758</v>
      </c>
      <c r="B763" s="467">
        <v>42575</v>
      </c>
      <c r="C763" s="468" t="s">
        <v>2723</v>
      </c>
      <c r="D763" s="468" t="s">
        <v>5106</v>
      </c>
      <c r="E763" s="468" t="s">
        <v>5107</v>
      </c>
      <c r="F763" s="468" t="s">
        <v>3685</v>
      </c>
      <c r="G763" s="466">
        <v>6</v>
      </c>
      <c r="H763" s="465">
        <v>7</v>
      </c>
      <c r="I763" s="466"/>
      <c r="J763" s="466"/>
      <c r="K763" s="466">
        <v>11</v>
      </c>
      <c r="L763" s="506">
        <v>3</v>
      </c>
      <c r="M763" s="463">
        <v>2817</v>
      </c>
      <c r="N763" s="468" t="s">
        <v>5185</v>
      </c>
      <c r="O763" s="466">
        <v>2</v>
      </c>
      <c r="P763" s="555" t="s">
        <v>4111</v>
      </c>
      <c r="Q763" s="462">
        <v>1.080324074074074E-3</v>
      </c>
      <c r="R763" s="463">
        <v>590</v>
      </c>
      <c r="S763" s="466" t="s">
        <v>625</v>
      </c>
      <c r="T763" s="524" t="s">
        <v>4253</v>
      </c>
      <c r="W763" s="460"/>
      <c r="AY763" s="486">
        <f t="shared" si="46"/>
        <v>590</v>
      </c>
      <c r="AZ763" s="487" t="str">
        <f t="shared" si="47"/>
        <v/>
      </c>
      <c r="CH763" s="459"/>
    </row>
    <row r="764" spans="1:90" s="461" customFormat="1" ht="12" customHeight="1" x14ac:dyDescent="0.15">
      <c r="A764" s="522" t="s">
        <v>3933</v>
      </c>
      <c r="B764" s="467">
        <v>42575</v>
      </c>
      <c r="C764" s="468" t="s">
        <v>3953</v>
      </c>
      <c r="D764" s="468" t="s">
        <v>3947</v>
      </c>
      <c r="E764" s="468" t="s">
        <v>3848</v>
      </c>
      <c r="F764" s="468" t="s">
        <v>3685</v>
      </c>
      <c r="G764" s="466">
        <v>6</v>
      </c>
      <c r="H764" s="465">
        <v>7</v>
      </c>
      <c r="I764" s="466"/>
      <c r="J764" s="466"/>
      <c r="K764" s="466">
        <v>11</v>
      </c>
      <c r="L764" s="506">
        <v>30</v>
      </c>
      <c r="M764" s="463">
        <v>2817</v>
      </c>
      <c r="N764" s="468" t="s">
        <v>5185</v>
      </c>
      <c r="O764" s="466">
        <v>10</v>
      </c>
      <c r="P764" s="523">
        <v>-21</v>
      </c>
      <c r="Q764" s="462">
        <v>1.080324074074074E-3</v>
      </c>
      <c r="R764" s="463">
        <v>65</v>
      </c>
      <c r="S764" s="466" t="s">
        <v>625</v>
      </c>
      <c r="T764" s="524"/>
      <c r="W764" s="460"/>
      <c r="AY764" s="486">
        <f t="shared" si="46"/>
        <v>65</v>
      </c>
      <c r="AZ764" s="487" t="str">
        <f t="shared" si="47"/>
        <v/>
      </c>
      <c r="CH764" s="459"/>
    </row>
    <row r="765" spans="1:90" s="469" customFormat="1" ht="12" customHeight="1" x14ac:dyDescent="0.15">
      <c r="A765" s="444" t="s">
        <v>3838</v>
      </c>
      <c r="B765" s="445">
        <v>42575</v>
      </c>
      <c r="C765" s="446" t="s">
        <v>3841</v>
      </c>
      <c r="D765" s="446" t="s">
        <v>3837</v>
      </c>
      <c r="E765" s="446" t="s">
        <v>4475</v>
      </c>
      <c r="F765" s="446" t="s">
        <v>3836</v>
      </c>
      <c r="G765" s="447">
        <v>7</v>
      </c>
      <c r="H765" s="448">
        <v>6.5</v>
      </c>
      <c r="I765" s="447"/>
      <c r="J765" s="447"/>
      <c r="K765" s="447">
        <v>13</v>
      </c>
      <c r="L765" s="449" t="s">
        <v>431</v>
      </c>
      <c r="M765" s="450">
        <v>2461</v>
      </c>
      <c r="N765" s="446" t="s">
        <v>5129</v>
      </c>
      <c r="O765" s="447">
        <v>1</v>
      </c>
      <c r="P765" s="451">
        <v>4</v>
      </c>
      <c r="Q765" s="452">
        <v>9.4143518518518502E-4</v>
      </c>
      <c r="R765" s="450">
        <v>1116</v>
      </c>
      <c r="S765" s="447" t="s">
        <v>625</v>
      </c>
      <c r="T765" s="453"/>
      <c r="U765" s="454"/>
      <c r="V765" s="454"/>
      <c r="W765" s="455"/>
      <c r="X765" s="454"/>
      <c r="Y765" s="454"/>
      <c r="Z765" s="454"/>
      <c r="AA765" s="454"/>
      <c r="AB765" s="454"/>
      <c r="AC765" s="454"/>
      <c r="AD765" s="454"/>
      <c r="AE765" s="454"/>
      <c r="AF765" s="454"/>
      <c r="AG765" s="454"/>
      <c r="AH765" s="454"/>
      <c r="AI765" s="454"/>
      <c r="AJ765" s="454"/>
      <c r="AK765" s="454"/>
      <c r="AL765" s="454"/>
      <c r="AM765" s="454"/>
      <c r="AN765" s="454"/>
      <c r="AO765" s="454"/>
      <c r="AP765" s="454"/>
      <c r="AQ765" s="454"/>
      <c r="AR765" s="454"/>
      <c r="AS765" s="454"/>
      <c r="AT765" s="454"/>
      <c r="AU765" s="454"/>
      <c r="AV765" s="454"/>
      <c r="AW765" s="454"/>
      <c r="AX765" s="454"/>
      <c r="AY765" s="486">
        <f t="shared" si="46"/>
        <v>1116</v>
      </c>
      <c r="AZ765" s="487">
        <f t="shared" si="47"/>
        <v>1</v>
      </c>
      <c r="BA765" s="454"/>
      <c r="BB765" s="454"/>
      <c r="BC765" s="454"/>
      <c r="BD765" s="454"/>
      <c r="BE765" s="454"/>
      <c r="BF765" s="454"/>
      <c r="BG765" s="454"/>
      <c r="BH765" s="454"/>
      <c r="BI765" s="454"/>
      <c r="BJ765" s="454"/>
      <c r="BK765" s="454"/>
      <c r="BL765" s="454"/>
      <c r="BM765" s="454"/>
      <c r="BN765" s="454"/>
      <c r="BO765" s="454"/>
      <c r="BP765" s="454"/>
      <c r="BQ765" s="454"/>
      <c r="BR765" s="454"/>
      <c r="BS765" s="454"/>
      <c r="BT765" s="454"/>
      <c r="BU765" s="454"/>
      <c r="BV765" s="454"/>
      <c r="BW765" s="454"/>
      <c r="BX765" s="454"/>
      <c r="BY765" s="454"/>
      <c r="BZ765" s="454"/>
      <c r="CA765" s="454"/>
      <c r="CB765" s="454"/>
      <c r="CC765" s="454"/>
      <c r="CD765" s="454"/>
      <c r="CE765" s="454"/>
      <c r="CF765" s="454"/>
      <c r="CG765" s="454"/>
      <c r="CH765" s="456"/>
      <c r="CI765" s="454"/>
      <c r="CJ765" s="454"/>
      <c r="CK765" s="454"/>
      <c r="CL765" s="454"/>
    </row>
    <row r="766" spans="1:90" s="461" customFormat="1" ht="12" customHeight="1" x14ac:dyDescent="0.15">
      <c r="A766" s="522" t="s">
        <v>3455</v>
      </c>
      <c r="B766" s="467">
        <v>42575</v>
      </c>
      <c r="C766" s="468" t="s">
        <v>4525</v>
      </c>
      <c r="D766" s="468" t="s">
        <v>3485</v>
      </c>
      <c r="E766" s="468" t="s">
        <v>5315</v>
      </c>
      <c r="F766" s="468" t="s">
        <v>3685</v>
      </c>
      <c r="G766" s="466">
        <v>7</v>
      </c>
      <c r="H766" s="465">
        <v>5.5</v>
      </c>
      <c r="I766" s="466"/>
      <c r="J766" s="466"/>
      <c r="K766" s="466">
        <v>11</v>
      </c>
      <c r="L766" s="506">
        <v>3</v>
      </c>
      <c r="M766" s="463">
        <v>2762</v>
      </c>
      <c r="N766" s="468" t="s">
        <v>5129</v>
      </c>
      <c r="O766" s="466">
        <v>5</v>
      </c>
      <c r="P766" s="523">
        <v>-6.5</v>
      </c>
      <c r="Q766" s="462">
        <v>7.7268518518518517E-4</v>
      </c>
      <c r="R766" s="463">
        <v>65</v>
      </c>
      <c r="S766" s="466" t="s">
        <v>625</v>
      </c>
      <c r="T766" s="524" t="s">
        <v>4253</v>
      </c>
      <c r="W766" s="460"/>
      <c r="AY766" s="486">
        <f t="shared" ref="AY766:AY770" si="48">IF(S766="","",R766)</f>
        <v>65</v>
      </c>
      <c r="AZ766" s="487" t="str">
        <f t="shared" ref="AZ766:AZ770" si="49">IF(F766="Pleasant Meadows","",IF(L766="","",IF(O766="--","",IF(O766=1,1,""))))</f>
        <v/>
      </c>
      <c r="CH766" s="459"/>
    </row>
    <row r="767" spans="1:90" s="461" customFormat="1" ht="12" customHeight="1" x14ac:dyDescent="0.15">
      <c r="A767" s="522" t="s">
        <v>33</v>
      </c>
      <c r="B767" s="467">
        <v>42575</v>
      </c>
      <c r="C767" s="468" t="s">
        <v>3715</v>
      </c>
      <c r="D767" s="468" t="s">
        <v>3716</v>
      </c>
      <c r="E767" s="468" t="s">
        <v>5310</v>
      </c>
      <c r="F767" s="468" t="s">
        <v>1196</v>
      </c>
      <c r="G767" s="466">
        <v>5</v>
      </c>
      <c r="H767" s="465">
        <v>8.5</v>
      </c>
      <c r="I767" s="466" t="s">
        <v>3730</v>
      </c>
      <c r="J767" s="466"/>
      <c r="K767" s="466">
        <v>11</v>
      </c>
      <c r="L767" s="506">
        <v>15</v>
      </c>
      <c r="M767" s="463">
        <v>12000</v>
      </c>
      <c r="N767" s="468" t="s">
        <v>197</v>
      </c>
      <c r="O767" s="466">
        <v>3</v>
      </c>
      <c r="P767" s="523">
        <v>-2.25</v>
      </c>
      <c r="Q767" s="462">
        <v>1.2070601851851851E-3</v>
      </c>
      <c r="R767" s="463">
        <v>1200</v>
      </c>
      <c r="S767" s="466"/>
      <c r="T767" s="524"/>
      <c r="W767" s="460"/>
      <c r="AY767" s="486" t="str">
        <f t="shared" si="48"/>
        <v/>
      </c>
      <c r="AZ767" s="487" t="str">
        <f t="shared" si="49"/>
        <v/>
      </c>
      <c r="CH767" s="459"/>
    </row>
    <row r="768" spans="1:90" s="461" customFormat="1" ht="12" customHeight="1" x14ac:dyDescent="0.15">
      <c r="A768" s="522" t="s">
        <v>1295</v>
      </c>
      <c r="B768" s="467">
        <v>42575</v>
      </c>
      <c r="C768" s="468" t="s">
        <v>646</v>
      </c>
      <c r="D768" s="468" t="s">
        <v>3751</v>
      </c>
      <c r="E768" s="468" t="s">
        <v>3671</v>
      </c>
      <c r="F768" s="468" t="s">
        <v>5311</v>
      </c>
      <c r="G768" s="466">
        <v>7</v>
      </c>
      <c r="H768" s="465">
        <v>8.5</v>
      </c>
      <c r="I768" s="466" t="s">
        <v>3730</v>
      </c>
      <c r="J768" s="635"/>
      <c r="K768" s="466">
        <v>11</v>
      </c>
      <c r="L768" s="506">
        <v>6</v>
      </c>
      <c r="M768" s="463">
        <v>62000</v>
      </c>
      <c r="N768" s="468" t="s">
        <v>4820</v>
      </c>
      <c r="O768" s="466">
        <v>4</v>
      </c>
      <c r="P768" s="523">
        <v>-4.5</v>
      </c>
      <c r="Q768" s="462">
        <v>1.169212962962963E-3</v>
      </c>
      <c r="R768" s="463">
        <v>3100</v>
      </c>
      <c r="S768" s="466"/>
      <c r="T768" s="524" t="s">
        <v>5328</v>
      </c>
      <c r="W768" s="460"/>
      <c r="AY768" s="486" t="str">
        <f t="shared" si="48"/>
        <v/>
      </c>
      <c r="AZ768" s="487" t="str">
        <f t="shared" si="49"/>
        <v/>
      </c>
      <c r="CH768" s="459"/>
    </row>
    <row r="769" spans="1:90" s="461" customFormat="1" ht="12" customHeight="1" x14ac:dyDescent="0.15">
      <c r="A769" s="522" t="s">
        <v>5132</v>
      </c>
      <c r="B769" s="467">
        <v>42575</v>
      </c>
      <c r="C769" s="468" t="s">
        <v>5133</v>
      </c>
      <c r="D769" s="468" t="s">
        <v>5104</v>
      </c>
      <c r="E769" s="468" t="s">
        <v>5148</v>
      </c>
      <c r="F769" s="468" t="s">
        <v>3685</v>
      </c>
      <c r="G769" s="466">
        <v>9</v>
      </c>
      <c r="H769" s="465">
        <v>6</v>
      </c>
      <c r="I769" s="466"/>
      <c r="J769" s="466"/>
      <c r="K769" s="466">
        <v>14</v>
      </c>
      <c r="L769" s="506">
        <v>10</v>
      </c>
      <c r="M769" s="463">
        <v>4229</v>
      </c>
      <c r="N769" s="468" t="s">
        <v>3348</v>
      </c>
      <c r="O769" s="466">
        <v>10</v>
      </c>
      <c r="P769" s="523">
        <v>-14.5</v>
      </c>
      <c r="Q769" s="462">
        <v>8.6284722222222221E-4</v>
      </c>
      <c r="R769" s="463">
        <v>65</v>
      </c>
      <c r="S769" s="466" t="s">
        <v>625</v>
      </c>
      <c r="T769" s="524"/>
      <c r="W769" s="460"/>
      <c r="AY769" s="486">
        <f t="shared" si="48"/>
        <v>65</v>
      </c>
      <c r="AZ769" s="487" t="str">
        <f t="shared" si="49"/>
        <v/>
      </c>
      <c r="CH769" s="459"/>
    </row>
    <row r="770" spans="1:90" s="469" customFormat="1" ht="12" customHeight="1" x14ac:dyDescent="0.15">
      <c r="A770" s="444" t="s">
        <v>2364</v>
      </c>
      <c r="B770" s="445">
        <v>42575</v>
      </c>
      <c r="C770" s="446" t="s">
        <v>3922</v>
      </c>
      <c r="D770" s="446" t="s">
        <v>3923</v>
      </c>
      <c r="E770" s="446" t="s">
        <v>3924</v>
      </c>
      <c r="F770" s="446" t="s">
        <v>4828</v>
      </c>
      <c r="G770" s="447">
        <v>1</v>
      </c>
      <c r="H770" s="448">
        <v>5.5</v>
      </c>
      <c r="I770" s="447" t="s">
        <v>1360</v>
      </c>
      <c r="J770" s="447"/>
      <c r="K770" s="447">
        <v>6</v>
      </c>
      <c r="L770" s="449">
        <f>5/2</f>
        <v>2.5</v>
      </c>
      <c r="M770" s="450">
        <v>10000</v>
      </c>
      <c r="N770" s="446" t="s">
        <v>197</v>
      </c>
      <c r="O770" s="447">
        <v>1</v>
      </c>
      <c r="P770" s="451">
        <v>2</v>
      </c>
      <c r="Q770" s="452">
        <v>7.4606481481481485E-4</v>
      </c>
      <c r="R770" s="450">
        <v>7800</v>
      </c>
      <c r="S770" s="447"/>
      <c r="T770" s="453" t="s">
        <v>3714</v>
      </c>
      <c r="U770" s="454"/>
      <c r="V770" s="454"/>
      <c r="W770" s="455"/>
      <c r="X770" s="454"/>
      <c r="Y770" s="454"/>
      <c r="Z770" s="454"/>
      <c r="AA770" s="454"/>
      <c r="AB770" s="454"/>
      <c r="AC770" s="454"/>
      <c r="AD770" s="454"/>
      <c r="AE770" s="454"/>
      <c r="AF770" s="454"/>
      <c r="AG770" s="454"/>
      <c r="AH770" s="454"/>
      <c r="AI770" s="454"/>
      <c r="AJ770" s="454"/>
      <c r="AK770" s="454"/>
      <c r="AL770" s="454"/>
      <c r="AM770" s="454"/>
      <c r="AN770" s="454"/>
      <c r="AO770" s="454"/>
      <c r="AP770" s="454"/>
      <c r="AQ770" s="454"/>
      <c r="AR770" s="454"/>
      <c r="AS770" s="454"/>
      <c r="AT770" s="454"/>
      <c r="AU770" s="454"/>
      <c r="AV770" s="454"/>
      <c r="AW770" s="454"/>
      <c r="AX770" s="454"/>
      <c r="AY770" s="486" t="str">
        <f t="shared" si="48"/>
        <v/>
      </c>
      <c r="AZ770" s="487">
        <f t="shared" si="49"/>
        <v>1</v>
      </c>
      <c r="BA770" s="454"/>
      <c r="BB770" s="454"/>
      <c r="BC770" s="454"/>
      <c r="BD770" s="454"/>
      <c r="BE770" s="454"/>
      <c r="BF770" s="454"/>
      <c r="BG770" s="454"/>
      <c r="BH770" s="454"/>
      <c r="BI770" s="454"/>
      <c r="BJ770" s="454"/>
      <c r="BK770" s="454"/>
      <c r="BL770" s="454"/>
      <c r="BM770" s="454"/>
      <c r="BN770" s="454"/>
      <c r="BO770" s="454"/>
      <c r="BP770" s="454"/>
      <c r="BQ770" s="454"/>
      <c r="BR770" s="454"/>
      <c r="BS770" s="454"/>
      <c r="BT770" s="454"/>
      <c r="BU770" s="454"/>
      <c r="BV770" s="454"/>
      <c r="BW770" s="454"/>
      <c r="BX770" s="454"/>
      <c r="BY770" s="454"/>
      <c r="BZ770" s="454"/>
      <c r="CA770" s="454"/>
      <c r="CB770" s="454"/>
      <c r="CC770" s="454"/>
      <c r="CD770" s="454"/>
      <c r="CE770" s="454"/>
      <c r="CF770" s="454"/>
      <c r="CG770" s="454"/>
      <c r="CH770" s="456"/>
      <c r="CI770" s="454"/>
      <c r="CJ770" s="454"/>
      <c r="CK770" s="454"/>
      <c r="CL770" s="454"/>
    </row>
    <row r="771" spans="1:90" s="469" customFormat="1" ht="12" customHeight="1" x14ac:dyDescent="0.15">
      <c r="A771" s="471" t="s">
        <v>1666</v>
      </c>
      <c r="B771" s="472">
        <v>42576</v>
      </c>
      <c r="C771" s="471" t="s">
        <v>4846</v>
      </c>
      <c r="D771" s="471" t="s">
        <v>4826</v>
      </c>
      <c r="E771" s="471" t="s">
        <v>3188</v>
      </c>
      <c r="F771" s="471" t="s">
        <v>1164</v>
      </c>
      <c r="G771" s="473">
        <v>7</v>
      </c>
      <c r="H771" s="474">
        <v>8.5</v>
      </c>
      <c r="I771" s="475"/>
      <c r="J771" s="475"/>
      <c r="K771" s="473">
        <v>6</v>
      </c>
      <c r="L771" s="485" t="s">
        <v>431</v>
      </c>
      <c r="M771" s="476">
        <v>26800</v>
      </c>
      <c r="N771" s="471" t="s">
        <v>5281</v>
      </c>
      <c r="O771" s="477" t="s">
        <v>431</v>
      </c>
      <c r="P771" s="478" t="s">
        <v>431</v>
      </c>
      <c r="Q771" s="479" t="s">
        <v>431</v>
      </c>
      <c r="R771" s="480" t="s">
        <v>431</v>
      </c>
      <c r="S771" s="477"/>
      <c r="T771" s="481" t="s">
        <v>5309</v>
      </c>
      <c r="U771" s="482"/>
      <c r="V771" s="482"/>
      <c r="W771" s="483"/>
      <c r="X771" s="482"/>
      <c r="Y771" s="482"/>
      <c r="Z771" s="482"/>
      <c r="AA771" s="482"/>
      <c r="AB771" s="482"/>
      <c r="AC771" s="482"/>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482"/>
      <c r="AY771" s="486" t="str">
        <f t="shared" ref="AY771:AY802" si="50">IF(S771="","",R771)</f>
        <v/>
      </c>
      <c r="AZ771" s="487" t="str">
        <f t="shared" ref="AZ771:AZ802" si="51">IF(F771="Pleasant Meadows","",IF(L771="","",IF(O771="--","",IF(O771=1,1,""))))</f>
        <v/>
      </c>
      <c r="BA771" s="482"/>
      <c r="BB771" s="482"/>
      <c r="BC771" s="482"/>
      <c r="BD771" s="482"/>
      <c r="BE771" s="482"/>
      <c r="BF771" s="482"/>
      <c r="BG771" s="482"/>
      <c r="BH771" s="482"/>
      <c r="BI771" s="482"/>
      <c r="BJ771" s="482"/>
      <c r="BK771" s="482"/>
      <c r="BL771" s="482"/>
      <c r="BM771" s="482"/>
      <c r="BN771" s="482"/>
      <c r="BO771" s="482"/>
      <c r="BP771" s="482"/>
      <c r="BQ771" s="482"/>
      <c r="BR771" s="482"/>
      <c r="BS771" s="482"/>
      <c r="BT771" s="482"/>
      <c r="BU771" s="482"/>
      <c r="BV771" s="482"/>
      <c r="BW771" s="482"/>
      <c r="BX771" s="482"/>
      <c r="BY771" s="482"/>
      <c r="BZ771" s="482"/>
      <c r="CA771" s="482"/>
      <c r="CB771" s="482"/>
      <c r="CC771" s="482"/>
      <c r="CD771" s="482"/>
      <c r="CE771" s="482"/>
      <c r="CF771" s="482"/>
      <c r="CG771" s="482"/>
      <c r="CH771" s="484"/>
    </row>
    <row r="772" spans="1:90" s="461" customFormat="1" ht="12" customHeight="1" x14ac:dyDescent="0.15">
      <c r="A772" s="522" t="s">
        <v>1381</v>
      </c>
      <c r="B772" s="467">
        <v>42577</v>
      </c>
      <c r="C772" s="468" t="s">
        <v>4512</v>
      </c>
      <c r="D772" s="468" t="s">
        <v>4511</v>
      </c>
      <c r="E772" s="468" t="s">
        <v>3924</v>
      </c>
      <c r="F772" s="468" t="s">
        <v>4828</v>
      </c>
      <c r="G772" s="466">
        <v>1</v>
      </c>
      <c r="H772" s="465">
        <v>5.5</v>
      </c>
      <c r="I772" s="466"/>
      <c r="J772" s="466"/>
      <c r="K772" s="466">
        <v>10</v>
      </c>
      <c r="L772" s="506">
        <v>10</v>
      </c>
      <c r="M772" s="463">
        <v>10000</v>
      </c>
      <c r="N772" s="468" t="s">
        <v>197</v>
      </c>
      <c r="O772" s="466">
        <v>7</v>
      </c>
      <c r="P772" s="523">
        <v>-2.75</v>
      </c>
      <c r="Q772" s="462">
        <v>7.5208333333333334E-4</v>
      </c>
      <c r="R772" s="463">
        <v>0</v>
      </c>
      <c r="S772" s="466"/>
      <c r="T772" s="524"/>
      <c r="W772" s="460"/>
      <c r="AY772" s="486" t="str">
        <f t="shared" si="50"/>
        <v/>
      </c>
      <c r="AZ772" s="487" t="str">
        <f t="shared" si="51"/>
        <v/>
      </c>
      <c r="CH772" s="459"/>
    </row>
    <row r="773" spans="1:90" s="469" customFormat="1" ht="12" customHeight="1" x14ac:dyDescent="0.15">
      <c r="A773" s="471" t="s">
        <v>2228</v>
      </c>
      <c r="B773" s="472">
        <v>42577</v>
      </c>
      <c r="C773" s="471" t="s">
        <v>5312</v>
      </c>
      <c r="D773" s="471" t="s">
        <v>5313</v>
      </c>
      <c r="E773" s="471" t="s">
        <v>5314</v>
      </c>
      <c r="F773" s="471" t="s">
        <v>2377</v>
      </c>
      <c r="G773" s="473">
        <v>3</v>
      </c>
      <c r="H773" s="474">
        <v>5</v>
      </c>
      <c r="I773" s="475" t="s">
        <v>3730</v>
      </c>
      <c r="J773" s="475"/>
      <c r="K773" s="473">
        <v>9</v>
      </c>
      <c r="L773" s="458">
        <v>8</v>
      </c>
      <c r="M773" s="476">
        <v>14100</v>
      </c>
      <c r="N773" s="471" t="s">
        <v>4636</v>
      </c>
      <c r="O773" s="477" t="s">
        <v>431</v>
      </c>
      <c r="P773" s="478" t="s">
        <v>431</v>
      </c>
      <c r="Q773" s="479" t="s">
        <v>431</v>
      </c>
      <c r="R773" s="480" t="s">
        <v>431</v>
      </c>
      <c r="S773" s="477"/>
      <c r="T773" s="481" t="s">
        <v>4423</v>
      </c>
      <c r="U773" s="482"/>
      <c r="V773" s="482"/>
      <c r="W773" s="483"/>
      <c r="X773" s="482"/>
      <c r="Y773" s="482"/>
      <c r="Z773" s="482"/>
      <c r="AA773" s="482"/>
      <c r="AB773" s="482"/>
      <c r="AC773" s="482"/>
      <c r="AD773" s="482"/>
      <c r="AE773" s="482"/>
      <c r="AF773" s="482"/>
      <c r="AG773" s="482"/>
      <c r="AH773" s="482"/>
      <c r="AI773" s="482"/>
      <c r="AJ773" s="482"/>
      <c r="AK773" s="482"/>
      <c r="AL773" s="482"/>
      <c r="AM773" s="482"/>
      <c r="AN773" s="482"/>
      <c r="AO773" s="482"/>
      <c r="AP773" s="482"/>
      <c r="AQ773" s="482"/>
      <c r="AR773" s="482"/>
      <c r="AS773" s="482"/>
      <c r="AT773" s="482"/>
      <c r="AU773" s="482"/>
      <c r="AV773" s="482"/>
      <c r="AW773" s="482"/>
      <c r="AX773" s="482"/>
      <c r="AY773" s="486" t="str">
        <f t="shared" si="50"/>
        <v/>
      </c>
      <c r="AZ773" s="487" t="str">
        <f t="shared" si="51"/>
        <v/>
      </c>
      <c r="BA773" s="482"/>
      <c r="BB773" s="482"/>
      <c r="BC773" s="482"/>
      <c r="BD773" s="482"/>
      <c r="BE773" s="482"/>
      <c r="BF773" s="482"/>
      <c r="BG773" s="482"/>
      <c r="BH773" s="482"/>
      <c r="BI773" s="482"/>
      <c r="BJ773" s="482"/>
      <c r="BK773" s="482"/>
      <c r="BL773" s="482"/>
      <c r="BM773" s="482"/>
      <c r="BN773" s="482"/>
      <c r="BO773" s="482"/>
      <c r="BP773" s="482"/>
      <c r="BQ773" s="482"/>
      <c r="BR773" s="482"/>
      <c r="BS773" s="482"/>
      <c r="BT773" s="482"/>
      <c r="BU773" s="482"/>
      <c r="BV773" s="482"/>
      <c r="BW773" s="482"/>
      <c r="BX773" s="482"/>
      <c r="BY773" s="482"/>
      <c r="BZ773" s="482"/>
      <c r="CA773" s="482"/>
      <c r="CB773" s="482"/>
      <c r="CC773" s="482"/>
      <c r="CD773" s="482"/>
      <c r="CE773" s="482"/>
      <c r="CF773" s="482"/>
      <c r="CG773" s="482"/>
      <c r="CH773" s="484"/>
    </row>
    <row r="774" spans="1:90" s="461" customFormat="1" ht="12" customHeight="1" x14ac:dyDescent="0.15">
      <c r="A774" s="522" t="s">
        <v>3158</v>
      </c>
      <c r="B774" s="467">
        <v>42578</v>
      </c>
      <c r="C774" s="468" t="s">
        <v>4170</v>
      </c>
      <c r="D774" s="468" t="s">
        <v>3705</v>
      </c>
      <c r="E774" s="468" t="s">
        <v>1623</v>
      </c>
      <c r="F774" s="468" t="s">
        <v>2376</v>
      </c>
      <c r="G774" s="466">
        <v>2</v>
      </c>
      <c r="H774" s="465">
        <v>8</v>
      </c>
      <c r="I774" s="466" t="s">
        <v>3730</v>
      </c>
      <c r="J774" s="466"/>
      <c r="K774" s="466">
        <v>9</v>
      </c>
      <c r="L774" s="506">
        <f>9/2</f>
        <v>4.5</v>
      </c>
      <c r="M774" s="463">
        <v>33300</v>
      </c>
      <c r="N774" s="468" t="s">
        <v>4211</v>
      </c>
      <c r="O774" s="466">
        <v>8</v>
      </c>
      <c r="P774" s="523">
        <v>-12.5</v>
      </c>
      <c r="Q774" s="462">
        <v>1.1186342592592593E-3</v>
      </c>
      <c r="R774" s="463">
        <v>0</v>
      </c>
      <c r="S774" s="466"/>
      <c r="T774" s="524"/>
      <c r="W774" s="460"/>
      <c r="AY774" s="486" t="str">
        <f t="shared" si="50"/>
        <v/>
      </c>
      <c r="AZ774" s="487" t="str">
        <f t="shared" si="51"/>
        <v/>
      </c>
      <c r="CH774" s="459"/>
    </row>
    <row r="775" spans="1:90" s="461" customFormat="1" ht="12" customHeight="1" x14ac:dyDescent="0.15">
      <c r="A775" s="522" t="s">
        <v>1670</v>
      </c>
      <c r="B775" s="467">
        <v>42578</v>
      </c>
      <c r="C775" s="468" t="s">
        <v>5102</v>
      </c>
      <c r="D775" s="468" t="s">
        <v>5101</v>
      </c>
      <c r="E775" s="468" t="s">
        <v>5295</v>
      </c>
      <c r="F775" s="468" t="s">
        <v>1828</v>
      </c>
      <c r="G775" s="466">
        <v>3</v>
      </c>
      <c r="H775" s="465">
        <v>6</v>
      </c>
      <c r="I775" s="466"/>
      <c r="J775" s="466"/>
      <c r="K775" s="466">
        <v>5</v>
      </c>
      <c r="L775" s="506">
        <f>9/2</f>
        <v>4.5</v>
      </c>
      <c r="M775" s="463">
        <v>6000</v>
      </c>
      <c r="N775" s="468" t="s">
        <v>5014</v>
      </c>
      <c r="O775" s="466">
        <v>2</v>
      </c>
      <c r="P775" s="523">
        <v>-5.5</v>
      </c>
      <c r="Q775" s="462">
        <v>8.8425925925925922E-4</v>
      </c>
      <c r="R775" s="463">
        <v>1200</v>
      </c>
      <c r="S775" s="466"/>
      <c r="T775" s="524" t="s">
        <v>5350</v>
      </c>
      <c r="W775" s="460"/>
      <c r="AY775" s="486" t="str">
        <f t="shared" si="50"/>
        <v/>
      </c>
      <c r="AZ775" s="487" t="str">
        <f t="shared" si="51"/>
        <v/>
      </c>
      <c r="CH775" s="459"/>
    </row>
    <row r="776" spans="1:90" s="461" customFormat="1" ht="12" customHeight="1" x14ac:dyDescent="0.15">
      <c r="A776" s="522" t="s">
        <v>1666</v>
      </c>
      <c r="B776" s="467">
        <v>42579</v>
      </c>
      <c r="C776" s="468" t="s">
        <v>4846</v>
      </c>
      <c r="D776" s="468" t="s">
        <v>4826</v>
      </c>
      <c r="E776" s="468" t="s">
        <v>4981</v>
      </c>
      <c r="F776" s="468" t="s">
        <v>5311</v>
      </c>
      <c r="G776" s="466">
        <v>9</v>
      </c>
      <c r="H776" s="465">
        <v>6.5</v>
      </c>
      <c r="I776" s="466"/>
      <c r="J776" s="466"/>
      <c r="K776" s="466">
        <v>7</v>
      </c>
      <c r="L776" s="506">
        <v>6</v>
      </c>
      <c r="M776" s="463">
        <v>100000</v>
      </c>
      <c r="N776" s="468" t="s">
        <v>5327</v>
      </c>
      <c r="O776" s="466">
        <v>3</v>
      </c>
      <c r="P776" s="523">
        <v>-0.75</v>
      </c>
      <c r="Q776" s="462">
        <v>8.7951388888888888E-4</v>
      </c>
      <c r="R776" s="463">
        <v>10000</v>
      </c>
      <c r="S776" s="466"/>
      <c r="T776" s="524"/>
      <c r="W776" s="460"/>
      <c r="AY776" s="486" t="str">
        <f t="shared" si="50"/>
        <v/>
      </c>
      <c r="AZ776" s="487" t="str">
        <f t="shared" si="51"/>
        <v/>
      </c>
      <c r="CH776" s="459"/>
    </row>
    <row r="777" spans="1:90" s="469" customFormat="1" ht="12" customHeight="1" x14ac:dyDescent="0.15">
      <c r="A777" s="444" t="s">
        <v>1953</v>
      </c>
      <c r="B777" s="445">
        <v>42579</v>
      </c>
      <c r="C777" s="446" t="s">
        <v>4719</v>
      </c>
      <c r="D777" s="446" t="s">
        <v>4860</v>
      </c>
      <c r="E777" s="446" t="s">
        <v>4979</v>
      </c>
      <c r="F777" s="446" t="s">
        <v>2376</v>
      </c>
      <c r="G777" s="447">
        <v>2</v>
      </c>
      <c r="H777" s="448">
        <v>8.3000000000000007</v>
      </c>
      <c r="I777" s="447" t="s">
        <v>3730</v>
      </c>
      <c r="J777" s="447"/>
      <c r="K777" s="447">
        <v>7</v>
      </c>
      <c r="L777" s="449">
        <v>8</v>
      </c>
      <c r="M777" s="450">
        <v>33300</v>
      </c>
      <c r="N777" s="446" t="s">
        <v>4578</v>
      </c>
      <c r="O777" s="447">
        <v>1</v>
      </c>
      <c r="P777" s="451">
        <v>2.5</v>
      </c>
      <c r="Q777" s="452">
        <v>1.1642361111111111E-3</v>
      </c>
      <c r="R777" s="450">
        <v>19980</v>
      </c>
      <c r="S777" s="447"/>
      <c r="T777" s="453"/>
      <c r="U777" s="454"/>
      <c r="V777" s="454"/>
      <c r="W777" s="455"/>
      <c r="X777" s="454"/>
      <c r="Y777" s="454"/>
      <c r="Z777" s="454"/>
      <c r="AA777" s="454"/>
      <c r="AB777" s="454"/>
      <c r="AC777" s="454"/>
      <c r="AD777" s="454"/>
      <c r="AE777" s="454"/>
      <c r="AF777" s="454"/>
      <c r="AG777" s="454"/>
      <c r="AH777" s="454"/>
      <c r="AI777" s="454"/>
      <c r="AJ777" s="454"/>
      <c r="AK777" s="454"/>
      <c r="AL777" s="454"/>
      <c r="AM777" s="454"/>
      <c r="AN777" s="454"/>
      <c r="AO777" s="454"/>
      <c r="AP777" s="454"/>
      <c r="AQ777" s="454"/>
      <c r="AR777" s="454"/>
      <c r="AS777" s="454"/>
      <c r="AT777" s="454"/>
      <c r="AU777" s="454"/>
      <c r="AV777" s="454"/>
      <c r="AW777" s="454"/>
      <c r="AX777" s="454"/>
      <c r="AY777" s="486" t="str">
        <f t="shared" si="50"/>
        <v/>
      </c>
      <c r="AZ777" s="487">
        <f t="shared" si="51"/>
        <v>1</v>
      </c>
      <c r="BA777" s="454"/>
      <c r="BB777" s="454"/>
      <c r="BC777" s="454"/>
      <c r="BD777" s="454"/>
      <c r="BE777" s="454"/>
      <c r="BF777" s="454"/>
      <c r="BG777" s="454"/>
      <c r="BH777" s="454"/>
      <c r="BI777" s="454"/>
      <c r="BJ777" s="454"/>
      <c r="BK777" s="454"/>
      <c r="BL777" s="454"/>
      <c r="BM777" s="454"/>
      <c r="BN777" s="454"/>
      <c r="BO777" s="454"/>
      <c r="BP777" s="454"/>
      <c r="BQ777" s="454"/>
      <c r="BR777" s="454"/>
      <c r="BS777" s="454"/>
      <c r="BT777" s="454"/>
      <c r="BU777" s="454"/>
      <c r="BV777" s="454"/>
      <c r="BW777" s="454"/>
      <c r="BX777" s="454"/>
      <c r="BY777" s="454"/>
      <c r="BZ777" s="454"/>
      <c r="CA777" s="454"/>
      <c r="CB777" s="454"/>
      <c r="CC777" s="454"/>
      <c r="CD777" s="454"/>
      <c r="CE777" s="454"/>
      <c r="CF777" s="454"/>
      <c r="CG777" s="454"/>
      <c r="CH777" s="456"/>
      <c r="CI777" s="454"/>
      <c r="CJ777" s="454"/>
      <c r="CK777" s="454"/>
      <c r="CL777" s="454"/>
    </row>
    <row r="778" spans="1:90" s="461" customFormat="1" ht="12" customHeight="1" x14ac:dyDescent="0.15">
      <c r="A778" s="522" t="s">
        <v>3645</v>
      </c>
      <c r="B778" s="467">
        <v>42579</v>
      </c>
      <c r="C778" s="468" t="s">
        <v>5044</v>
      </c>
      <c r="D778" s="468" t="s">
        <v>5045</v>
      </c>
      <c r="E778" s="468" t="s">
        <v>5336</v>
      </c>
      <c r="F778" s="468" t="s">
        <v>4828</v>
      </c>
      <c r="G778" s="466">
        <v>5</v>
      </c>
      <c r="H778" s="465">
        <v>8</v>
      </c>
      <c r="I778" s="466" t="s">
        <v>1360</v>
      </c>
      <c r="J778" s="466"/>
      <c r="K778" s="466">
        <v>11</v>
      </c>
      <c r="L778" s="506">
        <v>20</v>
      </c>
      <c r="M778" s="463">
        <v>10000</v>
      </c>
      <c r="N778" s="468" t="s">
        <v>5190</v>
      </c>
      <c r="O778" s="466">
        <v>8</v>
      </c>
      <c r="P778" s="523">
        <v>-17.5</v>
      </c>
      <c r="Q778" s="462">
        <v>1.1425925925925926E-3</v>
      </c>
      <c r="R778" s="463">
        <v>200</v>
      </c>
      <c r="S778" s="466"/>
      <c r="T778" s="524"/>
      <c r="W778" s="460"/>
      <c r="AY778" s="486" t="str">
        <f t="shared" si="50"/>
        <v/>
      </c>
      <c r="AZ778" s="487" t="str">
        <f t="shared" si="51"/>
        <v/>
      </c>
      <c r="CH778" s="459"/>
    </row>
    <row r="779" spans="1:90" s="469" customFormat="1" ht="12" customHeight="1" x14ac:dyDescent="0.15">
      <c r="A779" s="471" t="s">
        <v>1534</v>
      </c>
      <c r="B779" s="472">
        <v>42580</v>
      </c>
      <c r="C779" s="471" t="s">
        <v>4825</v>
      </c>
      <c r="D779" s="471" t="s">
        <v>4934</v>
      </c>
      <c r="E779" s="471" t="s">
        <v>5253</v>
      </c>
      <c r="F779" s="471" t="s">
        <v>3300</v>
      </c>
      <c r="G779" s="473">
        <v>4</v>
      </c>
      <c r="H779" s="474">
        <v>8.3000000000000007</v>
      </c>
      <c r="I779" s="475"/>
      <c r="J779" s="475"/>
      <c r="K779" s="473">
        <v>8</v>
      </c>
      <c r="L779" s="458">
        <v>2</v>
      </c>
      <c r="M779" s="476">
        <v>15000</v>
      </c>
      <c r="N779" s="471" t="s">
        <v>197</v>
      </c>
      <c r="O779" s="477" t="s">
        <v>431</v>
      </c>
      <c r="P779" s="478" t="s">
        <v>431</v>
      </c>
      <c r="Q779" s="479" t="s">
        <v>431</v>
      </c>
      <c r="R779" s="480" t="s">
        <v>431</v>
      </c>
      <c r="S779" s="477"/>
      <c r="T779" s="481" t="s">
        <v>5353</v>
      </c>
      <c r="U779" s="482"/>
      <c r="V779" s="482"/>
      <c r="W779" s="483"/>
      <c r="X779" s="482"/>
      <c r="Y779" s="482"/>
      <c r="Z779" s="482"/>
      <c r="AA779" s="482"/>
      <c r="AB779" s="482"/>
      <c r="AC779" s="482"/>
      <c r="AD779" s="482"/>
      <c r="AE779" s="482"/>
      <c r="AF779" s="482"/>
      <c r="AG779" s="482"/>
      <c r="AH779" s="482"/>
      <c r="AI779" s="482"/>
      <c r="AJ779" s="482"/>
      <c r="AK779" s="482"/>
      <c r="AL779" s="482"/>
      <c r="AM779" s="482"/>
      <c r="AN779" s="482"/>
      <c r="AO779" s="482"/>
      <c r="AP779" s="482"/>
      <c r="AQ779" s="482"/>
      <c r="AR779" s="482"/>
      <c r="AS779" s="482"/>
      <c r="AT779" s="482"/>
      <c r="AU779" s="482"/>
      <c r="AV779" s="482"/>
      <c r="AW779" s="482"/>
      <c r="AX779" s="482"/>
      <c r="AY779" s="486" t="str">
        <f t="shared" si="50"/>
        <v/>
      </c>
      <c r="AZ779" s="487" t="str">
        <f t="shared" si="51"/>
        <v/>
      </c>
      <c r="BA779" s="482"/>
      <c r="BB779" s="482"/>
      <c r="BC779" s="482"/>
      <c r="BD779" s="482"/>
      <c r="BE779" s="482"/>
      <c r="BF779" s="482"/>
      <c r="BG779" s="482"/>
      <c r="BH779" s="482"/>
      <c r="BI779" s="482"/>
      <c r="BJ779" s="482"/>
      <c r="BK779" s="482"/>
      <c r="BL779" s="482"/>
      <c r="BM779" s="482"/>
      <c r="BN779" s="482"/>
      <c r="BO779" s="482"/>
      <c r="BP779" s="482"/>
      <c r="BQ779" s="482"/>
      <c r="BR779" s="482"/>
      <c r="BS779" s="482"/>
      <c r="BT779" s="482"/>
      <c r="BU779" s="482"/>
      <c r="BV779" s="482"/>
      <c r="BW779" s="482"/>
      <c r="BX779" s="482"/>
      <c r="BY779" s="482"/>
      <c r="BZ779" s="482"/>
      <c r="CA779" s="482"/>
      <c r="CB779" s="482"/>
      <c r="CC779" s="482"/>
      <c r="CD779" s="482"/>
      <c r="CE779" s="482"/>
      <c r="CF779" s="482"/>
      <c r="CG779" s="482"/>
      <c r="CH779" s="484"/>
    </row>
    <row r="780" spans="1:90" s="461" customFormat="1" ht="12" customHeight="1" x14ac:dyDescent="0.15">
      <c r="A780" s="522" t="s">
        <v>58</v>
      </c>
      <c r="B780" s="467">
        <v>42580</v>
      </c>
      <c r="C780" s="468" t="s">
        <v>4774</v>
      </c>
      <c r="D780" s="468" t="s">
        <v>4245</v>
      </c>
      <c r="E780" s="468" t="s">
        <v>4775</v>
      </c>
      <c r="F780" s="468" t="s">
        <v>3300</v>
      </c>
      <c r="G780" s="466">
        <v>4</v>
      </c>
      <c r="H780" s="465">
        <v>8.3000000000000007</v>
      </c>
      <c r="I780" s="466"/>
      <c r="J780" s="466" t="s">
        <v>960</v>
      </c>
      <c r="K780" s="466">
        <v>7</v>
      </c>
      <c r="L780" s="506">
        <v>3</v>
      </c>
      <c r="M780" s="463">
        <v>15000</v>
      </c>
      <c r="N780" s="468" t="s">
        <v>197</v>
      </c>
      <c r="O780" s="466">
        <v>7</v>
      </c>
      <c r="P780" s="523">
        <v>-25</v>
      </c>
      <c r="Q780" s="462">
        <v>1.2118055555555556E-3</v>
      </c>
      <c r="R780" s="463">
        <v>500</v>
      </c>
      <c r="S780" s="466"/>
      <c r="T780" s="524" t="s">
        <v>3755</v>
      </c>
      <c r="W780" s="460"/>
      <c r="AY780" s="486" t="str">
        <f t="shared" si="50"/>
        <v/>
      </c>
      <c r="AZ780" s="487" t="str">
        <f t="shared" si="51"/>
        <v/>
      </c>
      <c r="CH780" s="459"/>
    </row>
    <row r="781" spans="1:90" s="469" customFormat="1" ht="12" customHeight="1" x14ac:dyDescent="0.15">
      <c r="A781" s="471" t="s">
        <v>4621</v>
      </c>
      <c r="B781" s="472">
        <v>42580</v>
      </c>
      <c r="C781" s="471" t="s">
        <v>4908</v>
      </c>
      <c r="D781" s="471" t="s">
        <v>3892</v>
      </c>
      <c r="E781" s="471" t="s">
        <v>5110</v>
      </c>
      <c r="F781" s="471" t="s">
        <v>540</v>
      </c>
      <c r="G781" s="473">
        <v>4</v>
      </c>
      <c r="H781" s="474">
        <v>7.5</v>
      </c>
      <c r="I781" s="475" t="s">
        <v>3730</v>
      </c>
      <c r="J781" s="475"/>
      <c r="K781" s="473">
        <v>8</v>
      </c>
      <c r="L781" s="458">
        <f>7/2</f>
        <v>3.5</v>
      </c>
      <c r="M781" s="476">
        <v>18000</v>
      </c>
      <c r="N781" s="471" t="s">
        <v>4761</v>
      </c>
      <c r="O781" s="477" t="s">
        <v>431</v>
      </c>
      <c r="P781" s="478" t="s">
        <v>431</v>
      </c>
      <c r="Q781" s="479" t="s">
        <v>431</v>
      </c>
      <c r="R781" s="480" t="s">
        <v>431</v>
      </c>
      <c r="S781" s="477"/>
      <c r="T781" s="481" t="s">
        <v>5267</v>
      </c>
      <c r="U781" s="482"/>
      <c r="V781" s="482"/>
      <c r="W781" s="483"/>
      <c r="X781" s="482"/>
      <c r="Y781" s="482"/>
      <c r="Z781" s="482"/>
      <c r="AA781" s="482"/>
      <c r="AB781" s="482"/>
      <c r="AC781" s="482"/>
      <c r="AD781" s="482"/>
      <c r="AE781" s="482"/>
      <c r="AF781" s="482"/>
      <c r="AG781" s="482"/>
      <c r="AH781" s="482"/>
      <c r="AI781" s="482"/>
      <c r="AJ781" s="482"/>
      <c r="AK781" s="482"/>
      <c r="AL781" s="482"/>
      <c r="AM781" s="482"/>
      <c r="AN781" s="482"/>
      <c r="AO781" s="482"/>
      <c r="AP781" s="482"/>
      <c r="AQ781" s="482"/>
      <c r="AR781" s="482"/>
      <c r="AS781" s="482"/>
      <c r="AT781" s="482"/>
      <c r="AU781" s="482"/>
      <c r="AV781" s="482"/>
      <c r="AW781" s="482"/>
      <c r="AX781" s="482"/>
      <c r="AY781" s="486" t="str">
        <f t="shared" si="50"/>
        <v/>
      </c>
      <c r="AZ781" s="487" t="str">
        <f t="shared" si="51"/>
        <v/>
      </c>
      <c r="BA781" s="482"/>
      <c r="BB781" s="482"/>
      <c r="BC781" s="482"/>
      <c r="BD781" s="482"/>
      <c r="BE781" s="482"/>
      <c r="BF781" s="482"/>
      <c r="BG781" s="482"/>
      <c r="BH781" s="482"/>
      <c r="BI781" s="482"/>
      <c r="BJ781" s="482"/>
      <c r="BK781" s="482"/>
      <c r="BL781" s="482"/>
      <c r="BM781" s="482"/>
      <c r="BN781" s="482"/>
      <c r="BO781" s="482"/>
      <c r="BP781" s="482"/>
      <c r="BQ781" s="482"/>
      <c r="BR781" s="482"/>
      <c r="BS781" s="482"/>
      <c r="BT781" s="482"/>
      <c r="BU781" s="482"/>
      <c r="BV781" s="482"/>
      <c r="BW781" s="482"/>
      <c r="BX781" s="482"/>
      <c r="BY781" s="482"/>
      <c r="BZ781" s="482"/>
      <c r="CA781" s="482"/>
      <c r="CB781" s="482"/>
      <c r="CC781" s="482"/>
      <c r="CD781" s="482"/>
      <c r="CE781" s="482"/>
      <c r="CF781" s="482"/>
      <c r="CG781" s="482"/>
      <c r="CH781" s="484"/>
    </row>
    <row r="782" spans="1:90" s="461" customFormat="1" ht="12" customHeight="1" x14ac:dyDescent="0.15">
      <c r="A782" s="522" t="s">
        <v>3099</v>
      </c>
      <c r="B782" s="467">
        <v>42580</v>
      </c>
      <c r="C782" s="468" t="s">
        <v>3293</v>
      </c>
      <c r="D782" s="468" t="s">
        <v>5218</v>
      </c>
      <c r="E782" s="468" t="s">
        <v>3189</v>
      </c>
      <c r="F782" s="468" t="s">
        <v>788</v>
      </c>
      <c r="G782" s="466">
        <v>1</v>
      </c>
      <c r="H782" s="465">
        <v>5</v>
      </c>
      <c r="I782" s="466"/>
      <c r="J782" s="466" t="s">
        <v>961</v>
      </c>
      <c r="K782" s="466">
        <v>9</v>
      </c>
      <c r="L782" s="506">
        <v>12</v>
      </c>
      <c r="M782" s="463">
        <v>33000</v>
      </c>
      <c r="N782" s="468" t="s">
        <v>5329</v>
      </c>
      <c r="O782" s="466">
        <v>4</v>
      </c>
      <c r="P782" s="523">
        <v>-5.5</v>
      </c>
      <c r="Q782" s="462">
        <v>6.9155092592592586E-4</v>
      </c>
      <c r="R782" s="463">
        <v>1980</v>
      </c>
      <c r="S782" s="466"/>
      <c r="T782" s="524"/>
      <c r="W782" s="460"/>
      <c r="AY782" s="486" t="str">
        <f t="shared" si="50"/>
        <v/>
      </c>
      <c r="AZ782" s="487" t="str">
        <f t="shared" si="51"/>
        <v/>
      </c>
      <c r="CH782" s="459"/>
    </row>
    <row r="783" spans="1:90" s="469" customFormat="1" ht="12" customHeight="1" x14ac:dyDescent="0.15">
      <c r="A783" s="444" t="s">
        <v>2218</v>
      </c>
      <c r="B783" s="445">
        <v>42580</v>
      </c>
      <c r="C783" s="446" t="s">
        <v>4663</v>
      </c>
      <c r="D783" s="446" t="s">
        <v>4664</v>
      </c>
      <c r="E783" s="446" t="s">
        <v>3878</v>
      </c>
      <c r="F783" s="446" t="s">
        <v>788</v>
      </c>
      <c r="G783" s="447">
        <v>6</v>
      </c>
      <c r="H783" s="448">
        <v>5.5</v>
      </c>
      <c r="I783" s="447" t="s">
        <v>3730</v>
      </c>
      <c r="J783" s="447" t="s">
        <v>961</v>
      </c>
      <c r="K783" s="447">
        <v>12</v>
      </c>
      <c r="L783" s="449">
        <v>12</v>
      </c>
      <c r="M783" s="450">
        <v>22000</v>
      </c>
      <c r="N783" s="446" t="s">
        <v>4752</v>
      </c>
      <c r="O783" s="447">
        <v>1</v>
      </c>
      <c r="P783" s="451">
        <v>-1.75</v>
      </c>
      <c r="Q783" s="452">
        <v>7.6250000000000005E-4</v>
      </c>
      <c r="R783" s="450">
        <v>12540</v>
      </c>
      <c r="S783" s="447"/>
      <c r="T783" s="453"/>
      <c r="U783" s="454"/>
      <c r="V783" s="454"/>
      <c r="W783" s="455"/>
      <c r="X783" s="454"/>
      <c r="Y783" s="454"/>
      <c r="Z783" s="454"/>
      <c r="AA783" s="454"/>
      <c r="AB783" s="454"/>
      <c r="AC783" s="454"/>
      <c r="AD783" s="454"/>
      <c r="AE783" s="454"/>
      <c r="AF783" s="454"/>
      <c r="AG783" s="454"/>
      <c r="AH783" s="454"/>
      <c r="AI783" s="454"/>
      <c r="AJ783" s="454"/>
      <c r="AK783" s="454"/>
      <c r="AL783" s="454"/>
      <c r="AM783" s="454"/>
      <c r="AN783" s="454"/>
      <c r="AO783" s="454"/>
      <c r="AP783" s="454"/>
      <c r="AQ783" s="454"/>
      <c r="AR783" s="454"/>
      <c r="AS783" s="454"/>
      <c r="AT783" s="454"/>
      <c r="AU783" s="454"/>
      <c r="AV783" s="454"/>
      <c r="AW783" s="454"/>
      <c r="AX783" s="454"/>
      <c r="AY783" s="486" t="str">
        <f t="shared" si="50"/>
        <v/>
      </c>
      <c r="AZ783" s="487">
        <f t="shared" si="51"/>
        <v>1</v>
      </c>
      <c r="BA783" s="454"/>
      <c r="BB783" s="454"/>
      <c r="BC783" s="454"/>
      <c r="BD783" s="454"/>
      <c r="BE783" s="454"/>
      <c r="BF783" s="454"/>
      <c r="BG783" s="454"/>
      <c r="BH783" s="454"/>
      <c r="BI783" s="454"/>
      <c r="BJ783" s="454"/>
      <c r="BK783" s="454"/>
      <c r="BL783" s="454"/>
      <c r="BM783" s="454"/>
      <c r="BN783" s="454"/>
      <c r="BO783" s="454"/>
      <c r="BP783" s="454"/>
      <c r="BQ783" s="454"/>
      <c r="BR783" s="454"/>
      <c r="BS783" s="454"/>
      <c r="BT783" s="454"/>
      <c r="BU783" s="454"/>
      <c r="BV783" s="454"/>
      <c r="BW783" s="454"/>
      <c r="BX783" s="454"/>
      <c r="BY783" s="454"/>
      <c r="BZ783" s="454"/>
      <c r="CA783" s="454"/>
      <c r="CB783" s="454"/>
      <c r="CC783" s="454"/>
      <c r="CD783" s="454"/>
      <c r="CE783" s="454"/>
      <c r="CF783" s="454"/>
      <c r="CG783" s="454"/>
      <c r="CH783" s="456"/>
      <c r="CI783" s="454"/>
      <c r="CJ783" s="454"/>
      <c r="CK783" s="454"/>
      <c r="CL783" s="454"/>
    </row>
    <row r="784" spans="1:90" s="461" customFormat="1" ht="12" customHeight="1" x14ac:dyDescent="0.15">
      <c r="A784" s="522" t="s">
        <v>122</v>
      </c>
      <c r="B784" s="467">
        <v>42580</v>
      </c>
      <c r="C784" s="468" t="s">
        <v>4346</v>
      </c>
      <c r="D784" s="468" t="s">
        <v>4347</v>
      </c>
      <c r="E784" s="468" t="s">
        <v>4649</v>
      </c>
      <c r="F784" s="468" t="s">
        <v>1162</v>
      </c>
      <c r="G784" s="466">
        <v>7</v>
      </c>
      <c r="H784" s="465">
        <v>8</v>
      </c>
      <c r="I784" s="466" t="s">
        <v>1360</v>
      </c>
      <c r="J784" s="466"/>
      <c r="K784" s="466">
        <v>3</v>
      </c>
      <c r="L784" s="506">
        <v>6</v>
      </c>
      <c r="M784" s="463">
        <v>27200</v>
      </c>
      <c r="N784" s="468" t="s">
        <v>4486</v>
      </c>
      <c r="O784" s="466">
        <v>2</v>
      </c>
      <c r="P784" s="523">
        <v>-1</v>
      </c>
      <c r="Q784" s="462">
        <v>1.123611111111111E-3</v>
      </c>
      <c r="R784" s="463">
        <v>5440</v>
      </c>
      <c r="S784" s="466"/>
      <c r="T784" s="524" t="s">
        <v>4982</v>
      </c>
      <c r="W784" s="460"/>
      <c r="AY784" s="486" t="str">
        <f t="shared" si="50"/>
        <v/>
      </c>
      <c r="AZ784" s="487" t="str">
        <f t="shared" si="51"/>
        <v/>
      </c>
      <c r="CH784" s="459"/>
    </row>
    <row r="785" spans="1:90" s="469" customFormat="1" ht="12" customHeight="1" x14ac:dyDescent="0.15">
      <c r="A785" s="471" t="s">
        <v>4879</v>
      </c>
      <c r="B785" s="472">
        <v>42580</v>
      </c>
      <c r="C785" s="471" t="s">
        <v>4519</v>
      </c>
      <c r="D785" s="471" t="s">
        <v>5227</v>
      </c>
      <c r="E785" s="471" t="s">
        <v>3848</v>
      </c>
      <c r="F785" s="471" t="s">
        <v>3686</v>
      </c>
      <c r="G785" s="473">
        <v>7</v>
      </c>
      <c r="H785" s="474">
        <v>5</v>
      </c>
      <c r="I785" s="475"/>
      <c r="J785" s="475"/>
      <c r="K785" s="473">
        <v>11</v>
      </c>
      <c r="L785" s="458">
        <v>4</v>
      </c>
      <c r="M785" s="476">
        <v>5491</v>
      </c>
      <c r="N785" s="471" t="s">
        <v>5137</v>
      </c>
      <c r="O785" s="477" t="s">
        <v>431</v>
      </c>
      <c r="P785" s="478" t="s">
        <v>431</v>
      </c>
      <c r="Q785" s="479" t="s">
        <v>431</v>
      </c>
      <c r="R785" s="480" t="s">
        <v>431</v>
      </c>
      <c r="S785" s="477" t="s">
        <v>625</v>
      </c>
      <c r="T785" s="481" t="s">
        <v>5358</v>
      </c>
      <c r="U785" s="482"/>
      <c r="V785" s="482"/>
      <c r="W785" s="483"/>
      <c r="X785" s="482"/>
      <c r="Y785" s="482"/>
      <c r="Z785" s="482"/>
      <c r="AA785" s="482"/>
      <c r="AB785" s="482"/>
      <c r="AC785" s="482"/>
      <c r="AD785" s="482"/>
      <c r="AE785" s="482"/>
      <c r="AF785" s="482"/>
      <c r="AG785" s="482"/>
      <c r="AH785" s="482"/>
      <c r="AI785" s="482"/>
      <c r="AJ785" s="482"/>
      <c r="AK785" s="482"/>
      <c r="AL785" s="482"/>
      <c r="AM785" s="482"/>
      <c r="AN785" s="482"/>
      <c r="AO785" s="482"/>
      <c r="AP785" s="482"/>
      <c r="AQ785" s="482"/>
      <c r="AR785" s="482"/>
      <c r="AS785" s="482"/>
      <c r="AT785" s="482"/>
      <c r="AU785" s="482"/>
      <c r="AV785" s="482"/>
      <c r="AW785" s="482"/>
      <c r="AX785" s="482"/>
      <c r="AY785" s="486" t="str">
        <f t="shared" si="50"/>
        <v>--</v>
      </c>
      <c r="AZ785" s="487" t="str">
        <f t="shared" si="51"/>
        <v/>
      </c>
      <c r="BA785" s="482"/>
      <c r="BB785" s="482"/>
      <c r="BC785" s="482"/>
      <c r="BD785" s="482"/>
      <c r="BE785" s="482"/>
      <c r="BF785" s="482"/>
      <c r="BG785" s="482"/>
      <c r="BH785" s="482"/>
      <c r="BI785" s="482"/>
      <c r="BJ785" s="482"/>
      <c r="BK785" s="482"/>
      <c r="BL785" s="482"/>
      <c r="BM785" s="482"/>
      <c r="BN785" s="482"/>
      <c r="BO785" s="482"/>
      <c r="BP785" s="482"/>
      <c r="BQ785" s="482"/>
      <c r="BR785" s="482"/>
      <c r="BS785" s="482"/>
      <c r="BT785" s="482"/>
      <c r="BU785" s="482"/>
      <c r="BV785" s="482"/>
      <c r="BW785" s="482"/>
      <c r="BX785" s="482"/>
      <c r="BY785" s="482"/>
      <c r="BZ785" s="482"/>
      <c r="CA785" s="482"/>
      <c r="CB785" s="482"/>
      <c r="CC785" s="482"/>
      <c r="CD785" s="482"/>
      <c r="CE785" s="482"/>
      <c r="CF785" s="482"/>
      <c r="CG785" s="482"/>
      <c r="CH785" s="484"/>
    </row>
    <row r="786" spans="1:90" s="461" customFormat="1" ht="12" customHeight="1" x14ac:dyDescent="0.15">
      <c r="A786" s="522" t="s">
        <v>3176</v>
      </c>
      <c r="B786" s="467">
        <v>42580</v>
      </c>
      <c r="C786" s="468" t="s">
        <v>5199</v>
      </c>
      <c r="D786" s="468" t="s">
        <v>3702</v>
      </c>
      <c r="E786" s="468" t="s">
        <v>4949</v>
      </c>
      <c r="F786" s="468" t="s">
        <v>2376</v>
      </c>
      <c r="G786" s="466">
        <v>6</v>
      </c>
      <c r="H786" s="465">
        <v>6</v>
      </c>
      <c r="I786" s="466"/>
      <c r="J786" s="466"/>
      <c r="K786" s="466">
        <v>12</v>
      </c>
      <c r="L786" s="506">
        <v>15</v>
      </c>
      <c r="M786" s="463">
        <v>33300</v>
      </c>
      <c r="N786" s="468" t="s">
        <v>4211</v>
      </c>
      <c r="O786" s="466">
        <v>5</v>
      </c>
      <c r="P786" s="523">
        <v>-9.75</v>
      </c>
      <c r="Q786" s="462">
        <v>8.2650462962962962E-4</v>
      </c>
      <c r="R786" s="463">
        <v>999</v>
      </c>
      <c r="S786" s="466"/>
      <c r="T786" s="524"/>
      <c r="W786" s="460"/>
      <c r="AY786" s="486" t="str">
        <f t="shared" si="50"/>
        <v/>
      </c>
      <c r="AZ786" s="487" t="str">
        <f t="shared" si="51"/>
        <v/>
      </c>
      <c r="CH786" s="459"/>
    </row>
    <row r="787" spans="1:90" s="461" customFormat="1" ht="12" customHeight="1" x14ac:dyDescent="0.15">
      <c r="A787" s="522" t="s">
        <v>4656</v>
      </c>
      <c r="B787" s="467">
        <v>42581</v>
      </c>
      <c r="C787" s="468" t="s">
        <v>4521</v>
      </c>
      <c r="D787" s="468" t="s">
        <v>3192</v>
      </c>
      <c r="E787" s="468" t="s">
        <v>5315</v>
      </c>
      <c r="F787" s="468" t="s">
        <v>3686</v>
      </c>
      <c r="G787" s="466">
        <v>3</v>
      </c>
      <c r="H787" s="465">
        <v>6</v>
      </c>
      <c r="I787" s="466"/>
      <c r="J787" s="466"/>
      <c r="K787" s="466">
        <v>11</v>
      </c>
      <c r="L787" s="506">
        <v>12</v>
      </c>
      <c r="M787" s="463">
        <v>5491</v>
      </c>
      <c r="N787" s="468" t="s">
        <v>3739</v>
      </c>
      <c r="O787" s="466">
        <v>6</v>
      </c>
      <c r="P787" s="523">
        <v>-8.25</v>
      </c>
      <c r="Q787" s="462">
        <v>8.2754629629629628E-4</v>
      </c>
      <c r="R787" s="463">
        <v>99</v>
      </c>
      <c r="S787" s="466" t="s">
        <v>625</v>
      </c>
      <c r="T787" s="524"/>
      <c r="W787" s="460"/>
      <c r="AY787" s="486">
        <f t="shared" si="50"/>
        <v>99</v>
      </c>
      <c r="AZ787" s="487" t="str">
        <f t="shared" si="51"/>
        <v/>
      </c>
      <c r="CH787" s="459"/>
    </row>
    <row r="788" spans="1:90" s="461" customFormat="1" ht="12" customHeight="1" x14ac:dyDescent="0.15">
      <c r="A788" s="522" t="s">
        <v>3776</v>
      </c>
      <c r="B788" s="467">
        <v>42581</v>
      </c>
      <c r="C788" s="468" t="s">
        <v>3726</v>
      </c>
      <c r="D788" s="468" t="s">
        <v>3725</v>
      </c>
      <c r="E788" s="468" t="s">
        <v>3684</v>
      </c>
      <c r="F788" s="468" t="s">
        <v>3686</v>
      </c>
      <c r="G788" s="466">
        <v>4</v>
      </c>
      <c r="H788" s="466">
        <v>6.5</v>
      </c>
      <c r="I788" s="466"/>
      <c r="J788" s="466"/>
      <c r="K788" s="466">
        <v>8</v>
      </c>
      <c r="L788" s="525">
        <f>9/2</f>
        <v>4.5</v>
      </c>
      <c r="M788" s="463">
        <v>5965</v>
      </c>
      <c r="N788" s="468" t="s">
        <v>5137</v>
      </c>
      <c r="O788" s="466">
        <v>2</v>
      </c>
      <c r="P788" s="523">
        <v>-1.5</v>
      </c>
      <c r="Q788" s="462">
        <v>8.9699074074074073E-4</v>
      </c>
      <c r="R788" s="463">
        <v>1261</v>
      </c>
      <c r="S788" s="466" t="s">
        <v>625</v>
      </c>
      <c r="T788" s="524"/>
      <c r="W788" s="460"/>
      <c r="AY788" s="486">
        <f t="shared" si="50"/>
        <v>1261</v>
      </c>
      <c r="AZ788" s="487" t="str">
        <f t="shared" si="51"/>
        <v/>
      </c>
      <c r="CH788" s="459"/>
    </row>
    <row r="789" spans="1:90" s="461" customFormat="1" ht="12" customHeight="1" x14ac:dyDescent="0.15">
      <c r="A789" s="522" t="s">
        <v>4830</v>
      </c>
      <c r="B789" s="467">
        <v>42581</v>
      </c>
      <c r="C789" s="468" t="s">
        <v>3311</v>
      </c>
      <c r="D789" s="468" t="s">
        <v>5277</v>
      </c>
      <c r="E789" s="468" t="s">
        <v>4534</v>
      </c>
      <c r="F789" s="468" t="s">
        <v>3686</v>
      </c>
      <c r="G789" s="466">
        <v>6</v>
      </c>
      <c r="H789" s="465">
        <v>7</v>
      </c>
      <c r="I789" s="466"/>
      <c r="J789" s="466"/>
      <c r="K789" s="466">
        <v>13</v>
      </c>
      <c r="L789" s="525">
        <f>7/2</f>
        <v>3.5</v>
      </c>
      <c r="M789" s="463">
        <v>7511</v>
      </c>
      <c r="N789" s="468" t="s">
        <v>3653</v>
      </c>
      <c r="O789" s="466">
        <v>2</v>
      </c>
      <c r="P789" s="523">
        <v>-5</v>
      </c>
      <c r="Q789" s="462">
        <v>9.6145833333333337E-4</v>
      </c>
      <c r="R789" s="463">
        <v>1588</v>
      </c>
      <c r="S789" s="466" t="s">
        <v>625</v>
      </c>
      <c r="T789" s="524" t="s">
        <v>3755</v>
      </c>
      <c r="W789" s="460"/>
      <c r="AY789" s="486">
        <f t="shared" si="50"/>
        <v>1588</v>
      </c>
      <c r="AZ789" s="487" t="str">
        <f t="shared" si="51"/>
        <v/>
      </c>
      <c r="CH789" s="459"/>
    </row>
    <row r="790" spans="1:90" s="461" customFormat="1" ht="12" customHeight="1" x14ac:dyDescent="0.15">
      <c r="A790" s="522" t="s">
        <v>4011</v>
      </c>
      <c r="B790" s="467">
        <v>42581</v>
      </c>
      <c r="C790" s="468" t="s">
        <v>4018</v>
      </c>
      <c r="D790" s="468" t="s">
        <v>4017</v>
      </c>
      <c r="E790" s="468" t="s">
        <v>3699</v>
      </c>
      <c r="F790" s="468" t="s">
        <v>3686</v>
      </c>
      <c r="G790" s="466">
        <v>7</v>
      </c>
      <c r="H790" s="466">
        <v>7.5</v>
      </c>
      <c r="I790" s="466"/>
      <c r="J790" s="466"/>
      <c r="K790" s="466">
        <v>14</v>
      </c>
      <c r="L790" s="525">
        <v>3</v>
      </c>
      <c r="M790" s="463">
        <v>21265</v>
      </c>
      <c r="N790" s="468" t="s">
        <v>5339</v>
      </c>
      <c r="O790" s="466">
        <v>5</v>
      </c>
      <c r="P790" s="523">
        <v>-5.75</v>
      </c>
      <c r="Q790" s="462">
        <v>1.0366898148148149E-3</v>
      </c>
      <c r="R790" s="463">
        <v>99</v>
      </c>
      <c r="S790" s="466" t="s">
        <v>625</v>
      </c>
      <c r="T790" s="524" t="s">
        <v>3714</v>
      </c>
      <c r="W790" s="460"/>
      <c r="AY790" s="486">
        <f t="shared" si="50"/>
        <v>99</v>
      </c>
      <c r="AZ790" s="487" t="str">
        <f t="shared" si="51"/>
        <v/>
      </c>
      <c r="CH790" s="459"/>
    </row>
    <row r="791" spans="1:90" s="461" customFormat="1" ht="12" customHeight="1" x14ac:dyDescent="0.15">
      <c r="A791" s="522" t="s">
        <v>5340</v>
      </c>
      <c r="B791" s="467">
        <v>42581</v>
      </c>
      <c r="C791" s="468" t="s">
        <v>4429</v>
      </c>
      <c r="D791" s="468" t="s">
        <v>5476</v>
      </c>
      <c r="E791" s="468" t="s">
        <v>3848</v>
      </c>
      <c r="F791" s="468" t="s">
        <v>3686</v>
      </c>
      <c r="G791" s="466">
        <v>9</v>
      </c>
      <c r="H791" s="465">
        <v>6</v>
      </c>
      <c r="I791" s="466"/>
      <c r="J791" s="466"/>
      <c r="K791" s="466">
        <v>13</v>
      </c>
      <c r="L791" s="525">
        <v>6</v>
      </c>
      <c r="M791" s="463">
        <v>7115</v>
      </c>
      <c r="N791" s="468" t="s">
        <v>3348</v>
      </c>
      <c r="O791" s="466">
        <v>6</v>
      </c>
      <c r="P791" s="523">
        <v>-9.25</v>
      </c>
      <c r="Q791" s="462">
        <v>8.2106481481481473E-4</v>
      </c>
      <c r="R791" s="463">
        <v>99</v>
      </c>
      <c r="S791" s="466" t="s">
        <v>625</v>
      </c>
      <c r="T791" s="524"/>
      <c r="W791" s="460"/>
      <c r="AY791" s="486">
        <f t="shared" si="50"/>
        <v>99</v>
      </c>
      <c r="AZ791" s="487" t="str">
        <f t="shared" si="51"/>
        <v/>
      </c>
      <c r="CH791" s="459"/>
    </row>
    <row r="792" spans="1:90" s="461" customFormat="1" ht="12" customHeight="1" x14ac:dyDescent="0.15">
      <c r="A792" s="522" t="s">
        <v>4294</v>
      </c>
      <c r="B792" s="467">
        <v>42581</v>
      </c>
      <c r="C792" s="468" t="s">
        <v>3951</v>
      </c>
      <c r="D792" s="468" t="s">
        <v>3725</v>
      </c>
      <c r="E792" s="468" t="s">
        <v>3684</v>
      </c>
      <c r="F792" s="468" t="s">
        <v>3686</v>
      </c>
      <c r="G792" s="466">
        <v>9</v>
      </c>
      <c r="H792" s="465">
        <v>6</v>
      </c>
      <c r="I792" s="466"/>
      <c r="J792" s="466"/>
      <c r="K792" s="466">
        <v>13</v>
      </c>
      <c r="L792" s="525">
        <v>10</v>
      </c>
      <c r="M792" s="463">
        <v>7115</v>
      </c>
      <c r="N792" s="468" t="s">
        <v>3348</v>
      </c>
      <c r="O792" s="466">
        <v>13</v>
      </c>
      <c r="P792" s="523">
        <v>-21.25</v>
      </c>
      <c r="Q792" s="462">
        <v>8.2106481481481473E-4</v>
      </c>
      <c r="R792" s="463">
        <v>99</v>
      </c>
      <c r="S792" s="466" t="s">
        <v>625</v>
      </c>
      <c r="T792" s="524"/>
      <c r="W792" s="460"/>
      <c r="AY792" s="486">
        <f t="shared" si="50"/>
        <v>99</v>
      </c>
      <c r="AZ792" s="487" t="str">
        <f t="shared" si="51"/>
        <v/>
      </c>
      <c r="CH792" s="459"/>
    </row>
    <row r="793" spans="1:90" s="461" customFormat="1" ht="12" customHeight="1" x14ac:dyDescent="0.15">
      <c r="A793" s="522" t="s">
        <v>4829</v>
      </c>
      <c r="B793" s="467">
        <v>42581</v>
      </c>
      <c r="C793" s="468" t="s">
        <v>2609</v>
      </c>
      <c r="D793" s="468" t="s">
        <v>4016</v>
      </c>
      <c r="E793" s="468" t="s">
        <v>3695</v>
      </c>
      <c r="F793" s="468" t="s">
        <v>3686</v>
      </c>
      <c r="G793" s="466">
        <v>11</v>
      </c>
      <c r="H793" s="465">
        <v>7</v>
      </c>
      <c r="I793" s="466"/>
      <c r="J793" s="466"/>
      <c r="K793" s="466">
        <v>13</v>
      </c>
      <c r="L793" s="525">
        <v>3</v>
      </c>
      <c r="M793" s="463">
        <v>5681</v>
      </c>
      <c r="N793" s="468" t="s">
        <v>5137</v>
      </c>
      <c r="O793" s="466">
        <v>2</v>
      </c>
      <c r="P793" s="555" t="s">
        <v>4111</v>
      </c>
      <c r="Q793" s="462">
        <v>9.6782407407407407E-4</v>
      </c>
      <c r="R793" s="463">
        <v>1201</v>
      </c>
      <c r="S793" s="466" t="s">
        <v>625</v>
      </c>
      <c r="T793" s="524"/>
      <c r="W793" s="460"/>
      <c r="AY793" s="486">
        <f t="shared" si="50"/>
        <v>1201</v>
      </c>
      <c r="AZ793" s="487" t="str">
        <f t="shared" si="51"/>
        <v/>
      </c>
      <c r="CH793" s="459"/>
    </row>
    <row r="794" spans="1:90" s="461" customFormat="1" ht="12" customHeight="1" x14ac:dyDescent="0.15">
      <c r="A794" s="522" t="s">
        <v>3944</v>
      </c>
      <c r="B794" s="467">
        <v>42581</v>
      </c>
      <c r="C794" s="468" t="s">
        <v>3949</v>
      </c>
      <c r="D794" s="468" t="s">
        <v>3213</v>
      </c>
      <c r="E794" s="468" t="s">
        <v>5315</v>
      </c>
      <c r="F794" s="468" t="s">
        <v>3686</v>
      </c>
      <c r="G794" s="466">
        <v>11</v>
      </c>
      <c r="H794" s="465">
        <v>7</v>
      </c>
      <c r="I794" s="466"/>
      <c r="J794" s="466"/>
      <c r="K794" s="466">
        <v>13</v>
      </c>
      <c r="L794" s="525">
        <v>15</v>
      </c>
      <c r="M794" s="463">
        <v>5681</v>
      </c>
      <c r="N794" s="468" t="s">
        <v>5137</v>
      </c>
      <c r="O794" s="466">
        <v>4</v>
      </c>
      <c r="P794" s="523">
        <v>-2.75</v>
      </c>
      <c r="Q794" s="462">
        <v>9.6782407407407407E-4</v>
      </c>
      <c r="R794" s="463">
        <v>343</v>
      </c>
      <c r="S794" s="466" t="s">
        <v>625</v>
      </c>
      <c r="T794" s="524"/>
      <c r="W794" s="460"/>
      <c r="AY794" s="486">
        <f t="shared" si="50"/>
        <v>343</v>
      </c>
      <c r="AZ794" s="487" t="str">
        <f t="shared" si="51"/>
        <v/>
      </c>
      <c r="CH794" s="459"/>
    </row>
    <row r="795" spans="1:90" s="461" customFormat="1" ht="12" customHeight="1" x14ac:dyDescent="0.15">
      <c r="A795" s="522" t="s">
        <v>4174</v>
      </c>
      <c r="B795" s="467">
        <v>42581</v>
      </c>
      <c r="C795" s="468" t="s">
        <v>2564</v>
      </c>
      <c r="D795" s="468" t="s">
        <v>5225</v>
      </c>
      <c r="E795" s="468" t="s">
        <v>3961</v>
      </c>
      <c r="F795" s="468" t="s">
        <v>3686</v>
      </c>
      <c r="G795" s="466">
        <v>12</v>
      </c>
      <c r="H795" s="465">
        <v>5.5</v>
      </c>
      <c r="I795" s="466"/>
      <c r="J795" s="466"/>
      <c r="K795" s="466">
        <v>14</v>
      </c>
      <c r="L795" s="506">
        <v>15</v>
      </c>
      <c r="M795" s="463">
        <v>4630</v>
      </c>
      <c r="N795" s="468" t="s">
        <v>5135</v>
      </c>
      <c r="O795" s="466">
        <v>11</v>
      </c>
      <c r="P795" s="523">
        <v>-13.5</v>
      </c>
      <c r="Q795" s="462">
        <v>7.5000000000000012E-4</v>
      </c>
      <c r="R795" s="463">
        <v>99</v>
      </c>
      <c r="S795" s="466" t="s">
        <v>625</v>
      </c>
      <c r="T795" s="524"/>
      <c r="W795" s="460"/>
      <c r="AY795" s="486">
        <f t="shared" si="50"/>
        <v>99</v>
      </c>
      <c r="AZ795" s="487" t="str">
        <f t="shared" si="51"/>
        <v/>
      </c>
      <c r="CH795" s="459"/>
    </row>
    <row r="796" spans="1:90" s="461" customFormat="1" ht="12" customHeight="1" x14ac:dyDescent="0.15">
      <c r="A796" s="522" t="s">
        <v>2121</v>
      </c>
      <c r="B796" s="467">
        <v>42581</v>
      </c>
      <c r="C796" s="468" t="s">
        <v>5015</v>
      </c>
      <c r="D796" s="468" t="s">
        <v>5016</v>
      </c>
      <c r="E796" s="468" t="s">
        <v>5337</v>
      </c>
      <c r="F796" s="468" t="s">
        <v>4171</v>
      </c>
      <c r="G796" s="466">
        <v>11</v>
      </c>
      <c r="H796" s="465">
        <v>6</v>
      </c>
      <c r="I796" s="466"/>
      <c r="J796" s="466"/>
      <c r="K796" s="466">
        <v>11</v>
      </c>
      <c r="L796" s="506">
        <v>10</v>
      </c>
      <c r="M796" s="463">
        <v>18000</v>
      </c>
      <c r="N796" s="468" t="s">
        <v>5014</v>
      </c>
      <c r="O796" s="466">
        <v>5</v>
      </c>
      <c r="P796" s="523">
        <v>5.75</v>
      </c>
      <c r="Q796" s="462">
        <v>8.3657407407407422E-4</v>
      </c>
      <c r="R796" s="463">
        <v>250</v>
      </c>
      <c r="S796" s="466"/>
      <c r="T796" s="524"/>
      <c r="W796" s="460"/>
      <c r="AY796" s="486" t="str">
        <f t="shared" si="50"/>
        <v/>
      </c>
      <c r="AZ796" s="487" t="str">
        <f t="shared" si="51"/>
        <v/>
      </c>
      <c r="CH796" s="459"/>
    </row>
    <row r="797" spans="1:90" s="469" customFormat="1" ht="12" customHeight="1" x14ac:dyDescent="0.15">
      <c r="A797" s="444" t="s">
        <v>2172</v>
      </c>
      <c r="B797" s="445">
        <v>42581</v>
      </c>
      <c r="C797" s="446" t="s">
        <v>3707</v>
      </c>
      <c r="D797" s="446" t="s">
        <v>3708</v>
      </c>
      <c r="E797" s="446" t="s">
        <v>5335</v>
      </c>
      <c r="F797" s="446" t="s">
        <v>4077</v>
      </c>
      <c r="G797" s="447">
        <v>8</v>
      </c>
      <c r="H797" s="448">
        <v>5</v>
      </c>
      <c r="I797" s="447"/>
      <c r="J797" s="447"/>
      <c r="K797" s="447">
        <v>10</v>
      </c>
      <c r="L797" s="449">
        <f>9/2</f>
        <v>4.5</v>
      </c>
      <c r="M797" s="450">
        <v>3200</v>
      </c>
      <c r="N797" s="446" t="s">
        <v>4717</v>
      </c>
      <c r="O797" s="447">
        <v>1</v>
      </c>
      <c r="P797" s="451">
        <v>1</v>
      </c>
      <c r="Q797" s="452">
        <v>6.9537037037037039E-4</v>
      </c>
      <c r="R797" s="450">
        <f>3200*0.6</f>
        <v>1920</v>
      </c>
      <c r="S797" s="447" t="s">
        <v>625</v>
      </c>
      <c r="T797" s="453"/>
      <c r="U797" s="454"/>
      <c r="V797" s="454"/>
      <c r="W797" s="455"/>
      <c r="X797" s="454"/>
      <c r="Y797" s="454"/>
      <c r="Z797" s="454"/>
      <c r="AA797" s="454"/>
      <c r="AB797" s="454"/>
      <c r="AC797" s="454"/>
      <c r="AD797" s="454"/>
      <c r="AE797" s="454"/>
      <c r="AF797" s="454"/>
      <c r="AG797" s="454"/>
      <c r="AH797" s="454"/>
      <c r="AI797" s="454"/>
      <c r="AJ797" s="454"/>
      <c r="AK797" s="454"/>
      <c r="AL797" s="454"/>
      <c r="AM797" s="454"/>
      <c r="AN797" s="454"/>
      <c r="AO797" s="454"/>
      <c r="AP797" s="454"/>
      <c r="AQ797" s="454"/>
      <c r="AR797" s="454"/>
      <c r="AS797" s="454"/>
      <c r="AT797" s="454"/>
      <c r="AU797" s="454"/>
      <c r="AV797" s="454"/>
      <c r="AW797" s="454"/>
      <c r="AX797" s="454"/>
      <c r="AY797" s="486">
        <f t="shared" si="50"/>
        <v>1920</v>
      </c>
      <c r="AZ797" s="487">
        <f t="shared" si="51"/>
        <v>1</v>
      </c>
      <c r="BA797" s="454"/>
      <c r="BB797" s="454"/>
      <c r="BC797" s="454"/>
      <c r="BD797" s="454"/>
      <c r="BE797" s="454"/>
      <c r="BF797" s="454"/>
      <c r="BG797" s="454"/>
      <c r="BH797" s="454"/>
      <c r="BI797" s="454"/>
      <c r="BJ797" s="454"/>
      <c r="BK797" s="454"/>
      <c r="BL797" s="454"/>
      <c r="BM797" s="454"/>
      <c r="BN797" s="454"/>
      <c r="BO797" s="454"/>
      <c r="BP797" s="454"/>
      <c r="BQ797" s="454"/>
      <c r="BR797" s="454"/>
      <c r="BS797" s="454"/>
      <c r="BT797" s="454"/>
      <c r="BU797" s="454"/>
      <c r="BV797" s="454"/>
      <c r="BW797" s="454"/>
      <c r="BX797" s="454"/>
      <c r="BY797" s="454"/>
      <c r="BZ797" s="454"/>
      <c r="CA797" s="454"/>
      <c r="CB797" s="454"/>
      <c r="CC797" s="454"/>
      <c r="CD797" s="454"/>
      <c r="CE797" s="454"/>
      <c r="CF797" s="454"/>
      <c r="CG797" s="454"/>
      <c r="CH797" s="456"/>
      <c r="CI797" s="454"/>
      <c r="CJ797" s="454"/>
      <c r="CK797" s="454"/>
      <c r="CL797" s="454"/>
    </row>
    <row r="798" spans="1:90" s="461" customFormat="1" ht="12" customHeight="1" x14ac:dyDescent="0.15">
      <c r="A798" s="522" t="s">
        <v>1534</v>
      </c>
      <c r="B798" s="467">
        <v>42581</v>
      </c>
      <c r="C798" s="468" t="s">
        <v>4825</v>
      </c>
      <c r="D798" s="468" t="s">
        <v>4934</v>
      </c>
      <c r="E798" s="468" t="s">
        <v>4713</v>
      </c>
      <c r="F798" s="468" t="s">
        <v>2376</v>
      </c>
      <c r="G798" s="466">
        <v>3</v>
      </c>
      <c r="H798" s="465">
        <v>8.3000000000000007</v>
      </c>
      <c r="I798" s="466"/>
      <c r="J798" s="466" t="s">
        <v>960</v>
      </c>
      <c r="K798" s="466">
        <v>5</v>
      </c>
      <c r="L798" s="506">
        <v>10</v>
      </c>
      <c r="M798" s="463">
        <v>14300</v>
      </c>
      <c r="N798" s="468" t="s">
        <v>4935</v>
      </c>
      <c r="O798" s="466">
        <v>3</v>
      </c>
      <c r="P798" s="523">
        <v>-10.25</v>
      </c>
      <c r="Q798" s="462">
        <v>1.2045138888888889E-3</v>
      </c>
      <c r="R798" s="463">
        <v>1888</v>
      </c>
      <c r="S798" s="466"/>
      <c r="T798" s="524"/>
      <c r="W798" s="460"/>
      <c r="AY798" s="486" t="str">
        <f t="shared" si="50"/>
        <v/>
      </c>
      <c r="AZ798" s="487" t="str">
        <f t="shared" si="51"/>
        <v/>
      </c>
      <c r="CH798" s="459"/>
    </row>
    <row r="799" spans="1:90" s="469" customFormat="1" ht="12" customHeight="1" x14ac:dyDescent="0.15">
      <c r="A799" s="471" t="s">
        <v>2177</v>
      </c>
      <c r="B799" s="472">
        <v>42581</v>
      </c>
      <c r="C799" s="471" t="s">
        <v>1805</v>
      </c>
      <c r="D799" s="471" t="s">
        <v>3855</v>
      </c>
      <c r="E799" s="471" t="s">
        <v>5175</v>
      </c>
      <c r="F799" s="471" t="s">
        <v>2376</v>
      </c>
      <c r="G799" s="473">
        <v>4</v>
      </c>
      <c r="H799" s="474">
        <v>8.3000000000000007</v>
      </c>
      <c r="I799" s="475" t="s">
        <v>959</v>
      </c>
      <c r="J799" s="475"/>
      <c r="K799" s="473">
        <v>9</v>
      </c>
      <c r="L799" s="458">
        <f>5/2</f>
        <v>2.5</v>
      </c>
      <c r="M799" s="476">
        <v>33300</v>
      </c>
      <c r="N799" s="471" t="s">
        <v>4296</v>
      </c>
      <c r="O799" s="477" t="s">
        <v>431</v>
      </c>
      <c r="P799" s="478" t="s">
        <v>431</v>
      </c>
      <c r="Q799" s="479" t="s">
        <v>431</v>
      </c>
      <c r="R799" s="480" t="s">
        <v>431</v>
      </c>
      <c r="S799" s="477"/>
      <c r="T799" s="481" t="s">
        <v>5267</v>
      </c>
      <c r="U799" s="482"/>
      <c r="V799" s="482"/>
      <c r="W799" s="483"/>
      <c r="X799" s="482"/>
      <c r="Y799" s="482"/>
      <c r="Z799" s="482"/>
      <c r="AA799" s="482"/>
      <c r="AB799" s="482"/>
      <c r="AC799" s="482"/>
      <c r="AD799" s="482"/>
      <c r="AE799" s="482"/>
      <c r="AF799" s="482"/>
      <c r="AG799" s="482"/>
      <c r="AH799" s="482"/>
      <c r="AI799" s="482"/>
      <c r="AJ799" s="482"/>
      <c r="AK799" s="482"/>
      <c r="AL799" s="482"/>
      <c r="AM799" s="482"/>
      <c r="AN799" s="482"/>
      <c r="AO799" s="482"/>
      <c r="AP799" s="482"/>
      <c r="AQ799" s="482"/>
      <c r="AR799" s="482"/>
      <c r="AS799" s="482"/>
      <c r="AT799" s="482"/>
      <c r="AU799" s="482"/>
      <c r="AV799" s="482"/>
      <c r="AW799" s="482"/>
      <c r="AX799" s="482"/>
      <c r="AY799" s="486" t="str">
        <f t="shared" si="50"/>
        <v/>
      </c>
      <c r="AZ799" s="487" t="str">
        <f t="shared" si="51"/>
        <v/>
      </c>
      <c r="BA799" s="482"/>
      <c r="BB799" s="482"/>
      <c r="BC799" s="482"/>
      <c r="BD799" s="482"/>
      <c r="BE799" s="482"/>
      <c r="BF799" s="482"/>
      <c r="BG799" s="482"/>
      <c r="BH799" s="482"/>
      <c r="BI799" s="482"/>
      <c r="BJ799" s="482"/>
      <c r="BK799" s="482"/>
      <c r="BL799" s="482"/>
      <c r="BM799" s="482"/>
      <c r="BN799" s="482"/>
      <c r="BO799" s="482"/>
      <c r="BP799" s="482"/>
      <c r="BQ799" s="482"/>
      <c r="BR799" s="482"/>
      <c r="BS799" s="482"/>
      <c r="BT799" s="482"/>
      <c r="BU799" s="482"/>
      <c r="BV799" s="482"/>
      <c r="BW799" s="482"/>
      <c r="BX799" s="482"/>
      <c r="BY799" s="482"/>
      <c r="BZ799" s="482"/>
      <c r="CA799" s="482"/>
      <c r="CB799" s="482"/>
      <c r="CC799" s="482"/>
      <c r="CD799" s="482"/>
      <c r="CE799" s="482"/>
      <c r="CF799" s="482"/>
      <c r="CG799" s="482"/>
      <c r="CH799" s="484"/>
    </row>
    <row r="800" spans="1:90" s="461" customFormat="1" ht="12" customHeight="1" x14ac:dyDescent="0.15">
      <c r="A800" s="522" t="s">
        <v>2276</v>
      </c>
      <c r="B800" s="467">
        <v>42581</v>
      </c>
      <c r="C800" s="468" t="s">
        <v>1786</v>
      </c>
      <c r="D800" s="468" t="s">
        <v>4257</v>
      </c>
      <c r="E800" s="468" t="s">
        <v>4949</v>
      </c>
      <c r="F800" s="468" t="s">
        <v>2376</v>
      </c>
      <c r="G800" s="466">
        <v>4</v>
      </c>
      <c r="H800" s="465">
        <v>8.3000000000000007</v>
      </c>
      <c r="I800" s="466" t="s">
        <v>959</v>
      </c>
      <c r="J800" s="466" t="s">
        <v>960</v>
      </c>
      <c r="K800" s="466">
        <v>6</v>
      </c>
      <c r="L800" s="506">
        <v>4</v>
      </c>
      <c r="M800" s="463">
        <v>33300</v>
      </c>
      <c r="N800" s="468" t="s">
        <v>4296</v>
      </c>
      <c r="O800" s="466">
        <v>5</v>
      </c>
      <c r="P800" s="523">
        <v>-13</v>
      </c>
      <c r="Q800" s="462">
        <v>1.2152777777777778E-3</v>
      </c>
      <c r="R800" s="463">
        <v>999</v>
      </c>
      <c r="S800" s="466"/>
      <c r="T800" s="524"/>
      <c r="W800" s="460"/>
      <c r="AY800" s="486" t="str">
        <f t="shared" si="50"/>
        <v/>
      </c>
      <c r="AZ800" s="487" t="str">
        <f t="shared" si="51"/>
        <v/>
      </c>
      <c r="CH800" s="459"/>
    </row>
    <row r="801" spans="1:90" s="461" customFormat="1" ht="12" customHeight="1" x14ac:dyDescent="0.15">
      <c r="A801" s="522" t="s">
        <v>3838</v>
      </c>
      <c r="B801" s="467">
        <v>42582</v>
      </c>
      <c r="C801" s="468" t="s">
        <v>3841</v>
      </c>
      <c r="D801" s="468" t="s">
        <v>3837</v>
      </c>
      <c r="E801" s="468" t="s">
        <v>4764</v>
      </c>
      <c r="F801" s="468" t="s">
        <v>3685</v>
      </c>
      <c r="G801" s="466">
        <v>1</v>
      </c>
      <c r="H801" s="465">
        <v>7.5</v>
      </c>
      <c r="I801" s="466"/>
      <c r="J801" s="466"/>
      <c r="K801" s="466">
        <v>8</v>
      </c>
      <c r="L801" s="525">
        <v>3</v>
      </c>
      <c r="M801" s="463">
        <v>2899</v>
      </c>
      <c r="N801" s="468" t="s">
        <v>5341</v>
      </c>
      <c r="O801" s="466">
        <v>3</v>
      </c>
      <c r="P801" s="523">
        <v>-2.5</v>
      </c>
      <c r="Q801" s="462">
        <v>1.0825231481481482E-3</v>
      </c>
      <c r="R801" s="463">
        <v>379</v>
      </c>
      <c r="S801" s="466" t="s">
        <v>625</v>
      </c>
      <c r="T801" s="524" t="s">
        <v>3714</v>
      </c>
      <c r="W801" s="460"/>
      <c r="AY801" s="486">
        <f t="shared" si="50"/>
        <v>379</v>
      </c>
      <c r="AZ801" s="487" t="str">
        <f t="shared" si="51"/>
        <v/>
      </c>
      <c r="CH801" s="459"/>
    </row>
    <row r="802" spans="1:90" s="469" customFormat="1" ht="12" customHeight="1" x14ac:dyDescent="0.15">
      <c r="A802" s="444" t="s">
        <v>5342</v>
      </c>
      <c r="B802" s="445">
        <v>42582</v>
      </c>
      <c r="C802" s="446" t="s">
        <v>5344</v>
      </c>
      <c r="D802" s="446" t="s">
        <v>5343</v>
      </c>
      <c r="E802" s="446" t="s">
        <v>5346</v>
      </c>
      <c r="F802" s="446" t="s">
        <v>3685</v>
      </c>
      <c r="G802" s="447">
        <v>6</v>
      </c>
      <c r="H802" s="448">
        <v>6.5</v>
      </c>
      <c r="I802" s="447"/>
      <c r="J802" s="447"/>
      <c r="K802" s="447">
        <v>12</v>
      </c>
      <c r="L802" s="449">
        <v>6</v>
      </c>
      <c r="M802" s="450">
        <v>4507</v>
      </c>
      <c r="N802" s="446" t="s">
        <v>3348</v>
      </c>
      <c r="O802" s="447">
        <v>1</v>
      </c>
      <c r="P802" s="451">
        <v>2.5</v>
      </c>
      <c r="Q802" s="452">
        <v>9.1932870370370378E-4</v>
      </c>
      <c r="R802" s="450">
        <v>2722</v>
      </c>
      <c r="S802" s="447" t="s">
        <v>625</v>
      </c>
      <c r="T802" s="453"/>
      <c r="U802" s="454"/>
      <c r="V802" s="454"/>
      <c r="W802" s="455"/>
      <c r="X802" s="454"/>
      <c r="Y802" s="454"/>
      <c r="Z802" s="454"/>
      <c r="AA802" s="454"/>
      <c r="AB802" s="454"/>
      <c r="AC802" s="454"/>
      <c r="AD802" s="454"/>
      <c r="AE802" s="454"/>
      <c r="AF802" s="454"/>
      <c r="AG802" s="454"/>
      <c r="AH802" s="454"/>
      <c r="AI802" s="454"/>
      <c r="AJ802" s="454"/>
      <c r="AK802" s="454"/>
      <c r="AL802" s="454"/>
      <c r="AM802" s="454"/>
      <c r="AN802" s="454"/>
      <c r="AO802" s="454"/>
      <c r="AP802" s="454"/>
      <c r="AQ802" s="454"/>
      <c r="AR802" s="454"/>
      <c r="AS802" s="454"/>
      <c r="AT802" s="454"/>
      <c r="AU802" s="454"/>
      <c r="AV802" s="454"/>
      <c r="AW802" s="454"/>
      <c r="AX802" s="454"/>
      <c r="AY802" s="486">
        <f t="shared" si="50"/>
        <v>2722</v>
      </c>
      <c r="AZ802" s="487">
        <f t="shared" si="51"/>
        <v>1</v>
      </c>
      <c r="BA802" s="454"/>
      <c r="BB802" s="454"/>
      <c r="BC802" s="454"/>
      <c r="BD802" s="454"/>
      <c r="BE802" s="454"/>
      <c r="BF802" s="454"/>
      <c r="BG802" s="454"/>
      <c r="BH802" s="454"/>
      <c r="BI802" s="454"/>
      <c r="BJ802" s="454"/>
      <c r="BK802" s="454"/>
      <c r="BL802" s="454"/>
      <c r="BM802" s="454"/>
      <c r="BN802" s="454"/>
      <c r="BO802" s="454"/>
      <c r="BP802" s="454"/>
      <c r="BQ802" s="454"/>
      <c r="BR802" s="454"/>
      <c r="BS802" s="454"/>
      <c r="BT802" s="454"/>
      <c r="BU802" s="454"/>
      <c r="BV802" s="454"/>
      <c r="BW802" s="454"/>
      <c r="BX802" s="454"/>
      <c r="BY802" s="454"/>
      <c r="BZ802" s="454"/>
      <c r="CA802" s="454"/>
      <c r="CB802" s="454"/>
      <c r="CC802" s="454"/>
      <c r="CD802" s="454"/>
      <c r="CE802" s="454"/>
      <c r="CF802" s="454"/>
      <c r="CG802" s="454"/>
      <c r="CH802" s="456"/>
      <c r="CI802" s="454"/>
      <c r="CJ802" s="454"/>
      <c r="CK802" s="454"/>
      <c r="CL802" s="454"/>
    </row>
    <row r="803" spans="1:90" s="461" customFormat="1" ht="12" customHeight="1" x14ac:dyDescent="0.15">
      <c r="A803" s="522" t="s">
        <v>3941</v>
      </c>
      <c r="B803" s="467">
        <v>42582</v>
      </c>
      <c r="C803" s="468" t="s">
        <v>2744</v>
      </c>
      <c r="D803" s="468" t="s">
        <v>3832</v>
      </c>
      <c r="E803" s="468" t="s">
        <v>4299</v>
      </c>
      <c r="F803" s="468" t="s">
        <v>3685</v>
      </c>
      <c r="G803" s="466">
        <v>8</v>
      </c>
      <c r="H803" s="465">
        <v>5.5</v>
      </c>
      <c r="I803" s="466"/>
      <c r="J803" s="466" t="s">
        <v>4371</v>
      </c>
      <c r="K803" s="466">
        <v>13</v>
      </c>
      <c r="L803" s="525">
        <f>7/2</f>
        <v>3.5</v>
      </c>
      <c r="M803" s="463">
        <v>6580</v>
      </c>
      <c r="N803" s="468" t="s">
        <v>5137</v>
      </c>
      <c r="O803" s="466">
        <v>4</v>
      </c>
      <c r="P803" s="523">
        <v>-9.5</v>
      </c>
      <c r="Q803" s="462">
        <v>7.4803240740740733E-4</v>
      </c>
      <c r="R803" s="463">
        <v>397</v>
      </c>
      <c r="S803" s="466" t="s">
        <v>625</v>
      </c>
      <c r="T803" s="524" t="s">
        <v>3755</v>
      </c>
      <c r="W803" s="460"/>
      <c r="AY803" s="486">
        <f t="shared" ref="AY803:AY824" si="52">IF(S803="","",R803)</f>
        <v>397</v>
      </c>
      <c r="AZ803" s="487" t="str">
        <f t="shared" ref="AZ803:AZ824" si="53">IF(F803="Pleasant Meadows","",IF(L803="","",IF(O803="--","",IF(O803=1,1,""))))</f>
        <v/>
      </c>
      <c r="CH803" s="459"/>
    </row>
    <row r="804" spans="1:90" s="461" customFormat="1" ht="12" customHeight="1" x14ac:dyDescent="0.15">
      <c r="A804" s="522" t="s">
        <v>3204</v>
      </c>
      <c r="B804" s="467">
        <v>42582</v>
      </c>
      <c r="C804" s="468" t="s">
        <v>3633</v>
      </c>
      <c r="D804" s="468" t="s">
        <v>3295</v>
      </c>
      <c r="E804" s="468" t="s">
        <v>4979</v>
      </c>
      <c r="F804" s="468" t="s">
        <v>788</v>
      </c>
      <c r="G804" s="466">
        <v>9</v>
      </c>
      <c r="H804" s="465">
        <v>5.5</v>
      </c>
      <c r="I804" s="466" t="s">
        <v>3730</v>
      </c>
      <c r="J804" s="466"/>
      <c r="K804" s="466">
        <v>12</v>
      </c>
      <c r="L804" s="525">
        <v>30</v>
      </c>
      <c r="M804" s="463">
        <v>22000</v>
      </c>
      <c r="N804" s="468" t="s">
        <v>4720</v>
      </c>
      <c r="O804" s="466">
        <v>2</v>
      </c>
      <c r="P804" s="523">
        <v>-1.5</v>
      </c>
      <c r="Q804" s="462">
        <v>7.6226851851851846E-4</v>
      </c>
      <c r="R804" s="463">
        <v>6006</v>
      </c>
      <c r="S804" s="466"/>
      <c r="T804" s="524"/>
      <c r="W804" s="460"/>
      <c r="AY804" s="486" t="str">
        <f t="shared" si="52"/>
        <v/>
      </c>
      <c r="AZ804" s="487" t="str">
        <f t="shared" si="53"/>
        <v/>
      </c>
      <c r="CH804" s="459"/>
    </row>
    <row r="805" spans="1:90" s="469" customFormat="1" ht="12" customHeight="1" x14ac:dyDescent="0.15">
      <c r="A805" s="471" t="s">
        <v>1816</v>
      </c>
      <c r="B805" s="472">
        <v>42582</v>
      </c>
      <c r="C805" s="471" t="s">
        <v>3704</v>
      </c>
      <c r="D805" s="471" t="s">
        <v>3705</v>
      </c>
      <c r="E805" s="471" t="s">
        <v>3188</v>
      </c>
      <c r="F805" s="471" t="s">
        <v>3300</v>
      </c>
      <c r="G805" s="473">
        <v>8</v>
      </c>
      <c r="H805" s="474">
        <v>8.5</v>
      </c>
      <c r="I805" s="475"/>
      <c r="J805" s="475"/>
      <c r="K805" s="473">
        <v>6</v>
      </c>
      <c r="L805" s="485" t="s">
        <v>431</v>
      </c>
      <c r="M805" s="476">
        <v>200000</v>
      </c>
      <c r="N805" s="471" t="s">
        <v>5326</v>
      </c>
      <c r="O805" s="637" t="s">
        <v>431</v>
      </c>
      <c r="P805" s="478" t="s">
        <v>431</v>
      </c>
      <c r="Q805" s="479" t="s">
        <v>431</v>
      </c>
      <c r="R805" s="480" t="s">
        <v>431</v>
      </c>
      <c r="S805" s="477"/>
      <c r="T805" s="481" t="s">
        <v>4110</v>
      </c>
      <c r="U805" s="482"/>
      <c r="V805" s="482"/>
      <c r="W805" s="483"/>
      <c r="X805" s="482"/>
      <c r="Y805" s="482"/>
      <c r="Z805" s="482"/>
      <c r="AA805" s="482"/>
      <c r="AB805" s="482"/>
      <c r="AC805" s="482"/>
      <c r="AD805" s="482"/>
      <c r="AE805" s="482"/>
      <c r="AF805" s="482"/>
      <c r="AG805" s="482"/>
      <c r="AH805" s="482"/>
      <c r="AI805" s="482"/>
      <c r="AJ805" s="482"/>
      <c r="AK805" s="482"/>
      <c r="AL805" s="482"/>
      <c r="AM805" s="482"/>
      <c r="AN805" s="482"/>
      <c r="AO805" s="482"/>
      <c r="AP805" s="482"/>
      <c r="AQ805" s="482"/>
      <c r="AR805" s="482"/>
      <c r="AS805" s="482"/>
      <c r="AT805" s="482"/>
      <c r="AU805" s="482"/>
      <c r="AV805" s="482"/>
      <c r="AW805" s="482"/>
      <c r="AX805" s="482"/>
      <c r="AY805" s="486" t="str">
        <f t="shared" si="52"/>
        <v/>
      </c>
      <c r="AZ805" s="487" t="str">
        <f t="shared" si="53"/>
        <v/>
      </c>
      <c r="BA805" s="482"/>
      <c r="BB805" s="482"/>
      <c r="BC805" s="482"/>
      <c r="BD805" s="482"/>
      <c r="BE805" s="482"/>
      <c r="BF805" s="482"/>
      <c r="BG805" s="482"/>
      <c r="BH805" s="482"/>
      <c r="BI805" s="482"/>
      <c r="BJ805" s="482"/>
      <c r="BK805" s="482"/>
      <c r="BL805" s="482"/>
      <c r="BM805" s="482"/>
      <c r="BN805" s="482"/>
      <c r="BO805" s="482"/>
      <c r="BP805" s="482"/>
      <c r="BQ805" s="482"/>
      <c r="BR805" s="482"/>
      <c r="BS805" s="482"/>
      <c r="BT805" s="482"/>
      <c r="BU805" s="482"/>
      <c r="BV805" s="482"/>
      <c r="BW805" s="482"/>
      <c r="BX805" s="482"/>
      <c r="BY805" s="482"/>
      <c r="BZ805" s="482"/>
      <c r="CA805" s="482"/>
      <c r="CB805" s="482"/>
      <c r="CC805" s="482"/>
      <c r="CD805" s="482"/>
      <c r="CE805" s="482"/>
      <c r="CF805" s="482"/>
      <c r="CG805" s="482"/>
      <c r="CH805" s="484"/>
    </row>
    <row r="806" spans="1:90" s="469" customFormat="1" ht="12" customHeight="1" x14ac:dyDescent="0.15">
      <c r="A806" s="444" t="s">
        <v>2143</v>
      </c>
      <c r="B806" s="445">
        <v>42583</v>
      </c>
      <c r="C806" s="446" t="s">
        <v>3299</v>
      </c>
      <c r="D806" s="446" t="s">
        <v>5246</v>
      </c>
      <c r="E806" s="446" t="s">
        <v>4713</v>
      </c>
      <c r="F806" s="446" t="s">
        <v>4171</v>
      </c>
      <c r="G806" s="447">
        <v>5</v>
      </c>
      <c r="H806" s="448">
        <v>6</v>
      </c>
      <c r="I806" s="447"/>
      <c r="J806" s="447"/>
      <c r="K806" s="447">
        <v>8</v>
      </c>
      <c r="L806" s="449">
        <v>5</v>
      </c>
      <c r="M806" s="450">
        <v>44000</v>
      </c>
      <c r="N806" s="446" t="s">
        <v>4578</v>
      </c>
      <c r="O806" s="447">
        <v>1</v>
      </c>
      <c r="P806" s="451" t="s">
        <v>4378</v>
      </c>
      <c r="Q806" s="452">
        <v>7.9895833333333338E-4</v>
      </c>
      <c r="R806" s="450">
        <v>26400</v>
      </c>
      <c r="S806" s="447"/>
      <c r="T806" s="453"/>
      <c r="U806" s="454"/>
      <c r="V806" s="454"/>
      <c r="W806" s="455"/>
      <c r="X806" s="454"/>
      <c r="Y806" s="454"/>
      <c r="Z806" s="454"/>
      <c r="AA806" s="454"/>
      <c r="AB806" s="454"/>
      <c r="AC806" s="454"/>
      <c r="AD806" s="454"/>
      <c r="AE806" s="454"/>
      <c r="AF806" s="454"/>
      <c r="AG806" s="454"/>
      <c r="AH806" s="454"/>
      <c r="AI806" s="454"/>
      <c r="AJ806" s="454"/>
      <c r="AK806" s="454"/>
      <c r="AL806" s="454"/>
      <c r="AM806" s="454"/>
      <c r="AN806" s="454"/>
      <c r="AO806" s="454"/>
      <c r="AP806" s="454"/>
      <c r="AQ806" s="454"/>
      <c r="AR806" s="454"/>
      <c r="AS806" s="454"/>
      <c r="AT806" s="454"/>
      <c r="AU806" s="454"/>
      <c r="AV806" s="454"/>
      <c r="AW806" s="454"/>
      <c r="AX806" s="454"/>
      <c r="AY806" s="486" t="str">
        <f t="shared" si="52"/>
        <v/>
      </c>
      <c r="AZ806" s="487">
        <f t="shared" si="53"/>
        <v>1</v>
      </c>
      <c r="BA806" s="454"/>
      <c r="BB806" s="454"/>
      <c r="BC806" s="454"/>
      <c r="BD806" s="454"/>
      <c r="BE806" s="454"/>
      <c r="BF806" s="454"/>
      <c r="BG806" s="454"/>
      <c r="BH806" s="454"/>
      <c r="BI806" s="454"/>
      <c r="BJ806" s="454"/>
      <c r="BK806" s="454"/>
      <c r="BL806" s="454"/>
      <c r="BM806" s="454"/>
      <c r="BN806" s="454"/>
      <c r="BO806" s="454"/>
      <c r="BP806" s="454"/>
      <c r="BQ806" s="454"/>
      <c r="BR806" s="454"/>
      <c r="BS806" s="454"/>
      <c r="BT806" s="454"/>
      <c r="BU806" s="454"/>
      <c r="BV806" s="454"/>
      <c r="BW806" s="454"/>
      <c r="BX806" s="454"/>
      <c r="BY806" s="454"/>
      <c r="BZ806" s="454"/>
      <c r="CA806" s="454"/>
      <c r="CB806" s="454"/>
      <c r="CC806" s="454"/>
      <c r="CD806" s="454"/>
      <c r="CE806" s="454"/>
      <c r="CF806" s="454"/>
      <c r="CG806" s="454"/>
      <c r="CH806" s="456"/>
      <c r="CI806" s="454"/>
      <c r="CJ806" s="454"/>
      <c r="CK806" s="454"/>
      <c r="CL806" s="454"/>
    </row>
    <row r="807" spans="1:90" s="469" customFormat="1" ht="12" customHeight="1" x14ac:dyDescent="0.15">
      <c r="A807" s="444" t="s">
        <v>351</v>
      </c>
      <c r="B807" s="445">
        <v>42583</v>
      </c>
      <c r="C807" s="446" t="s">
        <v>4845</v>
      </c>
      <c r="D807" s="446" t="s">
        <v>4841</v>
      </c>
      <c r="E807" s="446" t="s">
        <v>4842</v>
      </c>
      <c r="F807" s="446" t="s">
        <v>4843</v>
      </c>
      <c r="G807" s="447">
        <v>2</v>
      </c>
      <c r="H807" s="448">
        <v>6</v>
      </c>
      <c r="I807" s="447"/>
      <c r="J807" s="447" t="s">
        <v>960</v>
      </c>
      <c r="K807" s="447">
        <v>8</v>
      </c>
      <c r="L807" s="449">
        <v>4</v>
      </c>
      <c r="M807" s="450">
        <v>5862</v>
      </c>
      <c r="N807" s="446" t="s">
        <v>5087</v>
      </c>
      <c r="O807" s="447">
        <v>1</v>
      </c>
      <c r="P807" s="451">
        <v>1.75</v>
      </c>
      <c r="Q807" s="452">
        <v>8.4259259259259259E-4</v>
      </c>
      <c r="R807" s="450">
        <v>3452</v>
      </c>
      <c r="S807" s="447"/>
      <c r="T807" s="453"/>
      <c r="U807" s="454"/>
      <c r="V807" s="454"/>
      <c r="W807" s="455"/>
      <c r="X807" s="454"/>
      <c r="Y807" s="454"/>
      <c r="Z807" s="454"/>
      <c r="AA807" s="454"/>
      <c r="AB807" s="454"/>
      <c r="AC807" s="454"/>
      <c r="AD807" s="454"/>
      <c r="AE807" s="454"/>
      <c r="AF807" s="454"/>
      <c r="AG807" s="454"/>
      <c r="AH807" s="454"/>
      <c r="AI807" s="454"/>
      <c r="AJ807" s="454"/>
      <c r="AK807" s="454"/>
      <c r="AL807" s="454"/>
      <c r="AM807" s="454"/>
      <c r="AN807" s="454"/>
      <c r="AO807" s="454"/>
      <c r="AP807" s="454"/>
      <c r="AQ807" s="454"/>
      <c r="AR807" s="454"/>
      <c r="AS807" s="454"/>
      <c r="AT807" s="454"/>
      <c r="AU807" s="454"/>
      <c r="AV807" s="454"/>
      <c r="AW807" s="454"/>
      <c r="AX807" s="454"/>
      <c r="AY807" s="486" t="str">
        <f t="shared" si="52"/>
        <v/>
      </c>
      <c r="AZ807" s="487">
        <f t="shared" si="53"/>
        <v>1</v>
      </c>
      <c r="BA807" s="454"/>
      <c r="BB807" s="454"/>
      <c r="BC807" s="454"/>
      <c r="BD807" s="454"/>
      <c r="BE807" s="454"/>
      <c r="BF807" s="454"/>
      <c r="BG807" s="454"/>
      <c r="BH807" s="454"/>
      <c r="BI807" s="454"/>
      <c r="BJ807" s="454"/>
      <c r="BK807" s="454"/>
      <c r="BL807" s="454"/>
      <c r="BM807" s="454"/>
      <c r="BN807" s="454"/>
      <c r="BO807" s="454"/>
      <c r="BP807" s="454"/>
      <c r="BQ807" s="454"/>
      <c r="BR807" s="454"/>
      <c r="BS807" s="454"/>
      <c r="BT807" s="454"/>
      <c r="BU807" s="454"/>
      <c r="BV807" s="454"/>
      <c r="BW807" s="454"/>
      <c r="BX807" s="454"/>
      <c r="BY807" s="454"/>
      <c r="BZ807" s="454"/>
      <c r="CA807" s="454"/>
      <c r="CB807" s="454"/>
      <c r="CC807" s="454"/>
      <c r="CD807" s="454"/>
      <c r="CE807" s="454"/>
      <c r="CF807" s="454"/>
      <c r="CG807" s="454"/>
      <c r="CH807" s="456"/>
      <c r="CI807" s="454"/>
      <c r="CJ807" s="454"/>
      <c r="CK807" s="454"/>
      <c r="CL807" s="454"/>
    </row>
    <row r="808" spans="1:90" s="461" customFormat="1" ht="12" customHeight="1" x14ac:dyDescent="0.15">
      <c r="A808" s="522" t="s">
        <v>3339</v>
      </c>
      <c r="B808" s="467">
        <v>42584</v>
      </c>
      <c r="C808" s="468" t="s">
        <v>3704</v>
      </c>
      <c r="D808" s="468" t="s">
        <v>3705</v>
      </c>
      <c r="E808" s="468" t="s">
        <v>3786</v>
      </c>
      <c r="F808" s="468" t="s">
        <v>4171</v>
      </c>
      <c r="G808" s="466">
        <v>7</v>
      </c>
      <c r="H808" s="465">
        <v>8.3000000000000007</v>
      </c>
      <c r="I808" s="466"/>
      <c r="J808" s="466"/>
      <c r="K808" s="466">
        <v>8</v>
      </c>
      <c r="L808" s="525">
        <f>7/2</f>
        <v>3.5</v>
      </c>
      <c r="M808" s="463">
        <v>27000</v>
      </c>
      <c r="N808" s="468" t="s">
        <v>4902</v>
      </c>
      <c r="O808" s="466">
        <v>2</v>
      </c>
      <c r="P808" s="523">
        <v>-0.5</v>
      </c>
      <c r="Q808" s="462">
        <v>1.1792824074074075E-3</v>
      </c>
      <c r="R808" s="463">
        <v>7560</v>
      </c>
      <c r="S808" s="466"/>
      <c r="T808" s="524" t="s">
        <v>5376</v>
      </c>
      <c r="W808" s="460"/>
      <c r="AY808" s="486" t="str">
        <f t="shared" si="52"/>
        <v/>
      </c>
      <c r="AZ808" s="487" t="str">
        <f t="shared" si="53"/>
        <v/>
      </c>
      <c r="CH808" s="459"/>
    </row>
    <row r="809" spans="1:90" s="461" customFormat="1" ht="12" customHeight="1" x14ac:dyDescent="0.15">
      <c r="A809" s="522" t="s">
        <v>2227</v>
      </c>
      <c r="B809" s="467">
        <v>42584</v>
      </c>
      <c r="C809" s="468" t="s">
        <v>3756</v>
      </c>
      <c r="D809" s="468" t="s">
        <v>3757</v>
      </c>
      <c r="E809" s="468" t="s">
        <v>4349</v>
      </c>
      <c r="F809" s="468" t="s">
        <v>4171</v>
      </c>
      <c r="G809" s="466">
        <v>9</v>
      </c>
      <c r="H809" s="465">
        <v>7</v>
      </c>
      <c r="I809" s="466"/>
      <c r="J809" s="466"/>
      <c r="K809" s="466">
        <v>7</v>
      </c>
      <c r="L809" s="525">
        <f>9/2</f>
        <v>4.5</v>
      </c>
      <c r="M809" s="463">
        <v>44000</v>
      </c>
      <c r="N809" s="468" t="s">
        <v>4578</v>
      </c>
      <c r="O809" s="466">
        <v>6</v>
      </c>
      <c r="P809" s="523">
        <v>-14.5</v>
      </c>
      <c r="Q809" s="462">
        <v>9.5358796296296294E-4</v>
      </c>
      <c r="R809" s="463">
        <v>200</v>
      </c>
      <c r="S809" s="466"/>
      <c r="T809" s="524"/>
      <c r="W809" s="460"/>
      <c r="AY809" s="486" t="str">
        <f t="shared" si="52"/>
        <v/>
      </c>
      <c r="AZ809" s="487" t="str">
        <f t="shared" si="53"/>
        <v/>
      </c>
      <c r="CH809" s="459"/>
    </row>
    <row r="810" spans="1:90" s="461" customFormat="1" ht="12" customHeight="1" x14ac:dyDescent="0.15">
      <c r="A810" s="522" t="s">
        <v>2166</v>
      </c>
      <c r="B810" s="467">
        <v>42584</v>
      </c>
      <c r="C810" s="468" t="s">
        <v>4886</v>
      </c>
      <c r="D810" s="468" t="s">
        <v>4884</v>
      </c>
      <c r="E810" s="468" t="s">
        <v>4993</v>
      </c>
      <c r="F810" s="468" t="s">
        <v>4828</v>
      </c>
      <c r="G810" s="466">
        <v>2</v>
      </c>
      <c r="H810" s="465">
        <v>8.3000000000000007</v>
      </c>
      <c r="I810" s="466" t="s">
        <v>1360</v>
      </c>
      <c r="J810" s="466"/>
      <c r="K810" s="466">
        <v>7</v>
      </c>
      <c r="L810" s="506">
        <v>6</v>
      </c>
      <c r="M810" s="463">
        <v>28000</v>
      </c>
      <c r="N810" s="468" t="s">
        <v>4296</v>
      </c>
      <c r="O810" s="466">
        <v>7</v>
      </c>
      <c r="P810" s="523">
        <v>-10.25</v>
      </c>
      <c r="Q810" s="462">
        <v>1.198611111111111E-3</v>
      </c>
      <c r="R810" s="463">
        <v>200</v>
      </c>
      <c r="S810" s="466"/>
      <c r="T810" s="524"/>
      <c r="W810" s="460"/>
      <c r="AY810" s="486" t="str">
        <f t="shared" si="52"/>
        <v/>
      </c>
      <c r="AZ810" s="487" t="str">
        <f t="shared" si="53"/>
        <v/>
      </c>
      <c r="CH810" s="459"/>
    </row>
    <row r="811" spans="1:90" s="461" customFormat="1" ht="12" customHeight="1" x14ac:dyDescent="0.15">
      <c r="A811" s="522" t="s">
        <v>2478</v>
      </c>
      <c r="B811" s="467">
        <v>42585</v>
      </c>
      <c r="C811" s="468" t="s">
        <v>5072</v>
      </c>
      <c r="D811" s="468" t="s">
        <v>5073</v>
      </c>
      <c r="E811" s="468" t="s">
        <v>5366</v>
      </c>
      <c r="F811" s="468" t="s">
        <v>5311</v>
      </c>
      <c r="G811" s="466">
        <v>2</v>
      </c>
      <c r="H811" s="465">
        <v>6</v>
      </c>
      <c r="I811" s="466"/>
      <c r="J811" s="466"/>
      <c r="K811" s="466">
        <v>7</v>
      </c>
      <c r="L811" s="506">
        <v>2</v>
      </c>
      <c r="M811" s="463">
        <v>37000</v>
      </c>
      <c r="N811" s="468" t="s">
        <v>4665</v>
      </c>
      <c r="O811" s="466">
        <v>3</v>
      </c>
      <c r="P811" s="523">
        <v>-9.5</v>
      </c>
      <c r="Q811" s="462">
        <v>8.1620370370370364E-4</v>
      </c>
      <c r="R811" s="463">
        <v>3700</v>
      </c>
      <c r="S811" s="466"/>
      <c r="T811" s="524" t="s">
        <v>3714</v>
      </c>
      <c r="W811" s="460"/>
      <c r="AY811" s="486" t="str">
        <f t="shared" si="52"/>
        <v/>
      </c>
      <c r="AZ811" s="487" t="str">
        <f t="shared" si="53"/>
        <v/>
      </c>
      <c r="CH811" s="459"/>
    </row>
    <row r="812" spans="1:90" s="461" customFormat="1" ht="12" customHeight="1" x14ac:dyDescent="0.15">
      <c r="A812" s="522" t="s">
        <v>42</v>
      </c>
      <c r="B812" s="467">
        <v>42585</v>
      </c>
      <c r="C812" s="468" t="s">
        <v>3765</v>
      </c>
      <c r="D812" s="468" t="s">
        <v>3764</v>
      </c>
      <c r="E812" s="468" t="s">
        <v>3738</v>
      </c>
      <c r="F812" s="468" t="s">
        <v>4516</v>
      </c>
      <c r="G812" s="466">
        <v>6</v>
      </c>
      <c r="H812" s="465">
        <v>8</v>
      </c>
      <c r="I812" s="466" t="s">
        <v>3730</v>
      </c>
      <c r="J812" s="466"/>
      <c r="K812" s="466">
        <v>10</v>
      </c>
      <c r="L812" s="506">
        <v>15</v>
      </c>
      <c r="M812" s="463">
        <v>12000</v>
      </c>
      <c r="N812" s="468" t="s">
        <v>4910</v>
      </c>
      <c r="O812" s="466">
        <v>3</v>
      </c>
      <c r="P812" s="523">
        <v>-1.75</v>
      </c>
      <c r="Q812" s="462">
        <v>1.1568287037037038E-3</v>
      </c>
      <c r="R812" s="463">
        <v>1650</v>
      </c>
      <c r="S812" s="466"/>
      <c r="T812" s="524"/>
      <c r="W812" s="460"/>
      <c r="AY812" s="486" t="str">
        <f t="shared" si="52"/>
        <v/>
      </c>
      <c r="AZ812" s="487" t="str">
        <f t="shared" si="53"/>
        <v/>
      </c>
      <c r="CH812" s="459"/>
    </row>
    <row r="813" spans="1:90" s="461" customFormat="1" ht="12" customHeight="1" x14ac:dyDescent="0.15">
      <c r="A813" s="522" t="s">
        <v>3645</v>
      </c>
      <c r="B813" s="467">
        <v>42585</v>
      </c>
      <c r="C813" s="468" t="s">
        <v>5044</v>
      </c>
      <c r="D813" s="468" t="s">
        <v>5045</v>
      </c>
      <c r="E813" s="468" t="s">
        <v>5336</v>
      </c>
      <c r="F813" s="468" t="s">
        <v>4828</v>
      </c>
      <c r="G813" s="466">
        <v>8</v>
      </c>
      <c r="H813" s="465">
        <v>6.5</v>
      </c>
      <c r="I813" s="466" t="s">
        <v>1360</v>
      </c>
      <c r="J813" s="466"/>
      <c r="K813" s="466">
        <v>12</v>
      </c>
      <c r="L813" s="506">
        <v>15</v>
      </c>
      <c r="M813" s="463">
        <v>10000</v>
      </c>
      <c r="N813" s="468" t="s">
        <v>5190</v>
      </c>
      <c r="O813" s="466">
        <v>6</v>
      </c>
      <c r="P813" s="523">
        <v>-3.75</v>
      </c>
      <c r="Q813" s="462">
        <v>9.0879629629629633E-4</v>
      </c>
      <c r="R813" s="463">
        <v>200</v>
      </c>
      <c r="S813" s="466"/>
      <c r="T813" s="524"/>
      <c r="W813" s="460"/>
      <c r="AY813" s="486" t="str">
        <f t="shared" si="52"/>
        <v/>
      </c>
      <c r="AZ813" s="487" t="str">
        <f t="shared" si="53"/>
        <v/>
      </c>
      <c r="CH813" s="459"/>
    </row>
    <row r="814" spans="1:90" s="469" customFormat="1" ht="12" customHeight="1" x14ac:dyDescent="0.15">
      <c r="A814" s="444" t="s">
        <v>2176</v>
      </c>
      <c r="B814" s="445">
        <v>42586</v>
      </c>
      <c r="C814" s="446" t="s">
        <v>4594</v>
      </c>
      <c r="D814" s="446" t="s">
        <v>4595</v>
      </c>
      <c r="E814" s="446" t="s">
        <v>3788</v>
      </c>
      <c r="F814" s="446" t="s">
        <v>2376</v>
      </c>
      <c r="G814" s="447">
        <v>7</v>
      </c>
      <c r="H814" s="448">
        <v>5.5</v>
      </c>
      <c r="I814" s="447"/>
      <c r="J814" s="447"/>
      <c r="K814" s="447">
        <v>8</v>
      </c>
      <c r="L814" s="449">
        <v>2</v>
      </c>
      <c r="M814" s="450">
        <v>10500</v>
      </c>
      <c r="N814" s="446" t="s">
        <v>4897</v>
      </c>
      <c r="O814" s="447">
        <v>1</v>
      </c>
      <c r="P814" s="451">
        <v>3.75</v>
      </c>
      <c r="Q814" s="452">
        <v>7.7233796296296295E-4</v>
      </c>
      <c r="R814" s="450">
        <v>6300</v>
      </c>
      <c r="S814" s="447"/>
      <c r="T814" s="453" t="s">
        <v>3714</v>
      </c>
      <c r="U814" s="454"/>
      <c r="V814" s="454"/>
      <c r="W814" s="455"/>
      <c r="X814" s="454"/>
      <c r="Y814" s="454"/>
      <c r="Z814" s="454"/>
      <c r="AA814" s="454"/>
      <c r="AB814" s="454"/>
      <c r="AC814" s="454"/>
      <c r="AD814" s="454"/>
      <c r="AE814" s="454"/>
      <c r="AF814" s="454"/>
      <c r="AG814" s="454"/>
      <c r="AH814" s="454"/>
      <c r="AI814" s="454"/>
      <c r="AJ814" s="454"/>
      <c r="AK814" s="454"/>
      <c r="AL814" s="454"/>
      <c r="AM814" s="454"/>
      <c r="AN814" s="454"/>
      <c r="AO814" s="454"/>
      <c r="AP814" s="454"/>
      <c r="AQ814" s="454"/>
      <c r="AR814" s="454"/>
      <c r="AS814" s="454"/>
      <c r="AT814" s="454"/>
      <c r="AU814" s="454"/>
      <c r="AV814" s="454"/>
      <c r="AW814" s="454"/>
      <c r="AX814" s="454"/>
      <c r="AY814" s="486" t="str">
        <f t="shared" si="52"/>
        <v/>
      </c>
      <c r="AZ814" s="487">
        <f t="shared" si="53"/>
        <v>1</v>
      </c>
      <c r="BA814" s="454"/>
      <c r="BB814" s="454"/>
      <c r="BC814" s="454"/>
      <c r="BD814" s="454"/>
      <c r="BE814" s="454"/>
      <c r="BF814" s="454"/>
      <c r="BG814" s="454"/>
      <c r="BH814" s="454"/>
      <c r="BI814" s="454"/>
      <c r="BJ814" s="454"/>
      <c r="BK814" s="454"/>
      <c r="BL814" s="454"/>
      <c r="BM814" s="454"/>
      <c r="BN814" s="454"/>
      <c r="BO814" s="454"/>
      <c r="BP814" s="454"/>
      <c r="BQ814" s="454"/>
      <c r="BR814" s="454"/>
      <c r="BS814" s="454"/>
      <c r="BT814" s="454"/>
      <c r="BU814" s="454"/>
      <c r="BV814" s="454"/>
      <c r="BW814" s="454"/>
      <c r="BX814" s="454"/>
      <c r="BY814" s="454"/>
      <c r="BZ814" s="454"/>
      <c r="CA814" s="454"/>
      <c r="CB814" s="454"/>
      <c r="CC814" s="454"/>
      <c r="CD814" s="454"/>
      <c r="CE814" s="454"/>
      <c r="CF814" s="454"/>
      <c r="CG814" s="454"/>
      <c r="CH814" s="456"/>
      <c r="CI814" s="454"/>
      <c r="CJ814" s="454"/>
      <c r="CK814" s="454"/>
      <c r="CL814" s="454"/>
    </row>
    <row r="815" spans="1:90" s="469" customFormat="1" ht="12" customHeight="1" x14ac:dyDescent="0.15">
      <c r="A815" s="444" t="s">
        <v>1788</v>
      </c>
      <c r="B815" s="445">
        <v>42587</v>
      </c>
      <c r="C815" s="446" t="s">
        <v>1474</v>
      </c>
      <c r="D815" s="446" t="s">
        <v>5331</v>
      </c>
      <c r="E815" s="446" t="s">
        <v>5402</v>
      </c>
      <c r="F815" s="446" t="s">
        <v>5333</v>
      </c>
      <c r="G815" s="447">
        <v>10</v>
      </c>
      <c r="H815" s="448">
        <v>7</v>
      </c>
      <c r="I815" s="447"/>
      <c r="J815" s="447" t="s">
        <v>961</v>
      </c>
      <c r="K815" s="447">
        <v>12</v>
      </c>
      <c r="L815" s="638" t="s">
        <v>431</v>
      </c>
      <c r="M815" s="450">
        <v>23571</v>
      </c>
      <c r="N815" s="446" t="s">
        <v>4296</v>
      </c>
      <c r="O815" s="447">
        <v>1</v>
      </c>
      <c r="P815" s="451">
        <v>3</v>
      </c>
      <c r="Q815" s="452">
        <v>1.0428240740740741E-3</v>
      </c>
      <c r="R815" s="450">
        <v>15714</v>
      </c>
      <c r="S815" s="447"/>
      <c r="T815" s="453"/>
      <c r="U815" s="454"/>
      <c r="V815" s="454"/>
      <c r="W815" s="455"/>
      <c r="X815" s="454"/>
      <c r="Y815" s="454"/>
      <c r="Z815" s="454"/>
      <c r="AA815" s="454"/>
      <c r="AB815" s="454"/>
      <c r="AC815" s="454"/>
      <c r="AD815" s="454"/>
      <c r="AE815" s="454"/>
      <c r="AF815" s="454"/>
      <c r="AG815" s="454"/>
      <c r="AH815" s="454"/>
      <c r="AI815" s="454"/>
      <c r="AJ815" s="454"/>
      <c r="AK815" s="454"/>
      <c r="AL815" s="454"/>
      <c r="AM815" s="454"/>
      <c r="AN815" s="454"/>
      <c r="AO815" s="454"/>
      <c r="AP815" s="454"/>
      <c r="AQ815" s="454"/>
      <c r="AR815" s="454"/>
      <c r="AS815" s="454"/>
      <c r="AT815" s="454"/>
      <c r="AU815" s="454"/>
      <c r="AV815" s="454"/>
      <c r="AW815" s="454"/>
      <c r="AX815" s="454"/>
      <c r="AY815" s="486" t="str">
        <f t="shared" si="52"/>
        <v/>
      </c>
      <c r="AZ815" s="487">
        <f t="shared" si="53"/>
        <v>1</v>
      </c>
      <c r="BA815" s="454"/>
      <c r="BB815" s="454"/>
      <c r="BC815" s="454"/>
      <c r="BD815" s="454"/>
      <c r="BE815" s="454"/>
      <c r="BF815" s="454"/>
      <c r="BG815" s="454"/>
      <c r="BH815" s="454"/>
      <c r="BI815" s="454"/>
      <c r="BJ815" s="454"/>
      <c r="BK815" s="454"/>
      <c r="BL815" s="454"/>
      <c r="BM815" s="454"/>
      <c r="BN815" s="454"/>
      <c r="BO815" s="454"/>
      <c r="BP815" s="454"/>
      <c r="BQ815" s="454"/>
      <c r="BR815" s="454"/>
      <c r="BS815" s="454"/>
      <c r="BT815" s="454"/>
      <c r="BU815" s="454"/>
      <c r="BV815" s="454"/>
      <c r="BW815" s="454"/>
      <c r="BX815" s="454"/>
      <c r="BY815" s="454"/>
      <c r="BZ815" s="454"/>
      <c r="CA815" s="454"/>
      <c r="CB815" s="454"/>
      <c r="CC815" s="454"/>
      <c r="CD815" s="454"/>
      <c r="CE815" s="454"/>
      <c r="CF815" s="454"/>
      <c r="CG815" s="454"/>
      <c r="CH815" s="456"/>
      <c r="CI815" s="454"/>
      <c r="CJ815" s="454"/>
      <c r="CK815" s="454"/>
      <c r="CL815" s="454"/>
    </row>
    <row r="816" spans="1:90" s="461" customFormat="1" ht="12" customHeight="1" x14ac:dyDescent="0.15">
      <c r="A816" s="522" t="s">
        <v>2157</v>
      </c>
      <c r="B816" s="467">
        <v>42587</v>
      </c>
      <c r="C816" s="468" t="s">
        <v>4944</v>
      </c>
      <c r="D816" s="468" t="s">
        <v>4941</v>
      </c>
      <c r="E816" s="468" t="s">
        <v>5025</v>
      </c>
      <c r="F816" s="468" t="s">
        <v>2376</v>
      </c>
      <c r="G816" s="466">
        <v>2</v>
      </c>
      <c r="H816" s="465">
        <v>8</v>
      </c>
      <c r="I816" s="466" t="s">
        <v>3730</v>
      </c>
      <c r="J816" s="466" t="s">
        <v>3770</v>
      </c>
      <c r="K816" s="466">
        <v>7</v>
      </c>
      <c r="L816" s="506">
        <v>10</v>
      </c>
      <c r="M816" s="463">
        <v>28500</v>
      </c>
      <c r="N816" s="468" t="s">
        <v>4636</v>
      </c>
      <c r="O816" s="466">
        <v>4</v>
      </c>
      <c r="P816" s="523">
        <v>-9</v>
      </c>
      <c r="Q816" s="462">
        <v>1.1533564814814813E-3</v>
      </c>
      <c r="R816" s="463">
        <v>1710</v>
      </c>
      <c r="S816" s="466"/>
      <c r="T816" s="524"/>
      <c r="W816" s="460"/>
      <c r="AY816" s="486" t="str">
        <f t="shared" si="52"/>
        <v/>
      </c>
      <c r="AZ816" s="487" t="str">
        <f t="shared" si="53"/>
        <v/>
      </c>
      <c r="CH816" s="459"/>
    </row>
    <row r="817" spans="1:90" s="461" customFormat="1" ht="12" customHeight="1" x14ac:dyDescent="0.15">
      <c r="A817" s="522" t="s">
        <v>3174</v>
      </c>
      <c r="B817" s="467">
        <v>42587</v>
      </c>
      <c r="C817" s="468" t="s">
        <v>5386</v>
      </c>
      <c r="D817" s="468" t="s">
        <v>5388</v>
      </c>
      <c r="E817" s="468" t="s">
        <v>5387</v>
      </c>
      <c r="F817" s="468" t="s">
        <v>2376</v>
      </c>
      <c r="G817" s="466">
        <v>2</v>
      </c>
      <c r="H817" s="465">
        <v>8</v>
      </c>
      <c r="I817" s="466" t="s">
        <v>3730</v>
      </c>
      <c r="J817" s="466" t="s">
        <v>3770</v>
      </c>
      <c r="K817" s="466">
        <v>7</v>
      </c>
      <c r="L817" s="506">
        <v>15</v>
      </c>
      <c r="M817" s="463">
        <v>28500</v>
      </c>
      <c r="N817" s="468" t="s">
        <v>4636</v>
      </c>
      <c r="O817" s="466">
        <v>7</v>
      </c>
      <c r="P817" s="523">
        <v>-18.25</v>
      </c>
      <c r="Q817" s="462">
        <v>1.1533564814814813E-3</v>
      </c>
      <c r="R817" s="463">
        <v>0</v>
      </c>
      <c r="S817" s="466"/>
      <c r="T817" s="524"/>
      <c r="W817" s="460"/>
      <c r="AY817" s="486" t="str">
        <f t="shared" si="52"/>
        <v/>
      </c>
      <c r="AZ817" s="487" t="str">
        <f t="shared" si="53"/>
        <v/>
      </c>
      <c r="CH817" s="459"/>
    </row>
    <row r="818" spans="1:90" s="461" customFormat="1" ht="12" customHeight="1" x14ac:dyDescent="0.15">
      <c r="A818" s="522" t="s">
        <v>3064</v>
      </c>
      <c r="B818" s="467">
        <v>42588</v>
      </c>
      <c r="C818" s="468" t="s">
        <v>2511</v>
      </c>
      <c r="D818" s="468" t="s">
        <v>3877</v>
      </c>
      <c r="E818" s="468" t="s">
        <v>4337</v>
      </c>
      <c r="F818" s="468" t="s">
        <v>788</v>
      </c>
      <c r="G818" s="466">
        <v>4</v>
      </c>
      <c r="H818" s="465">
        <v>8.5</v>
      </c>
      <c r="I818" s="466" t="s">
        <v>3730</v>
      </c>
      <c r="J818" s="466"/>
      <c r="K818" s="466">
        <v>8</v>
      </c>
      <c r="L818" s="506">
        <v>20</v>
      </c>
      <c r="M818" s="463">
        <v>27000</v>
      </c>
      <c r="N818" s="468" t="s">
        <v>4776</v>
      </c>
      <c r="O818" s="466">
        <v>7</v>
      </c>
      <c r="P818" s="523">
        <v>-9</v>
      </c>
      <c r="Q818" s="462">
        <v>1.1778935185185184E-3</v>
      </c>
      <c r="R818" s="463">
        <v>0</v>
      </c>
      <c r="S818" s="466"/>
      <c r="T818" s="524"/>
      <c r="W818" s="460"/>
      <c r="AY818" s="486" t="str">
        <f t="shared" si="52"/>
        <v/>
      </c>
      <c r="AZ818" s="487" t="str">
        <f t="shared" si="53"/>
        <v/>
      </c>
      <c r="CH818" s="459"/>
    </row>
    <row r="819" spans="1:90" s="469" customFormat="1" ht="12" customHeight="1" x14ac:dyDescent="0.15">
      <c r="A819" s="444" t="s">
        <v>5377</v>
      </c>
      <c r="B819" s="445">
        <v>42588</v>
      </c>
      <c r="C819" s="446" t="s">
        <v>2744</v>
      </c>
      <c r="D819" s="446" t="s">
        <v>4757</v>
      </c>
      <c r="E819" s="446" t="s">
        <v>3846</v>
      </c>
      <c r="F819" s="446" t="s">
        <v>3686</v>
      </c>
      <c r="G819" s="447">
        <v>2</v>
      </c>
      <c r="H819" s="448">
        <v>5.5</v>
      </c>
      <c r="I819" s="447"/>
      <c r="J819" s="447"/>
      <c r="K819" s="447">
        <v>10</v>
      </c>
      <c r="L819" s="449">
        <f>9/2</f>
        <v>4.5</v>
      </c>
      <c r="M819" s="450">
        <v>7146</v>
      </c>
      <c r="N819" s="446" t="s">
        <v>3653</v>
      </c>
      <c r="O819" s="447">
        <v>1</v>
      </c>
      <c r="P819" s="451">
        <v>0.25</v>
      </c>
      <c r="Q819" s="452">
        <v>7.548611111111111E-4</v>
      </c>
      <c r="R819" s="450">
        <v>4320</v>
      </c>
      <c r="S819" s="447" t="s">
        <v>625</v>
      </c>
      <c r="T819" s="453" t="s">
        <v>5560</v>
      </c>
      <c r="U819" s="454"/>
      <c r="V819" s="454"/>
      <c r="W819" s="455"/>
      <c r="X819" s="454"/>
      <c r="Y819" s="454"/>
      <c r="Z819" s="454"/>
      <c r="AA819" s="454"/>
      <c r="AB819" s="454"/>
      <c r="AC819" s="454"/>
      <c r="AD819" s="454"/>
      <c r="AE819" s="454"/>
      <c r="AF819" s="454"/>
      <c r="AG819" s="454"/>
      <c r="AH819" s="454"/>
      <c r="AI819" s="454"/>
      <c r="AJ819" s="454"/>
      <c r="AK819" s="454"/>
      <c r="AL819" s="454"/>
      <c r="AM819" s="454"/>
      <c r="AN819" s="454"/>
      <c r="AO819" s="454"/>
      <c r="AP819" s="454"/>
      <c r="AQ819" s="454"/>
      <c r="AR819" s="454"/>
      <c r="AS819" s="454"/>
      <c r="AT819" s="454"/>
      <c r="AU819" s="454"/>
      <c r="AV819" s="454"/>
      <c r="AW819" s="454"/>
      <c r="AX819" s="454"/>
      <c r="AY819" s="486">
        <f t="shared" si="52"/>
        <v>4320</v>
      </c>
      <c r="AZ819" s="487">
        <f t="shared" si="53"/>
        <v>1</v>
      </c>
      <c r="BA819" s="454"/>
      <c r="BB819" s="454"/>
      <c r="BC819" s="454"/>
      <c r="BD819" s="454"/>
      <c r="BE819" s="454"/>
      <c r="BF819" s="454"/>
      <c r="BG819" s="454"/>
      <c r="BH819" s="454"/>
      <c r="BI819" s="454"/>
      <c r="BJ819" s="454"/>
      <c r="BK819" s="454"/>
      <c r="BL819" s="454"/>
      <c r="BM819" s="454"/>
      <c r="BN819" s="454"/>
      <c r="BO819" s="454"/>
      <c r="BP819" s="454"/>
      <c r="BQ819" s="454"/>
      <c r="BR819" s="454"/>
      <c r="BS819" s="454"/>
      <c r="BT819" s="454"/>
      <c r="BU819" s="454"/>
      <c r="BV819" s="454"/>
      <c r="BW819" s="454"/>
      <c r="BX819" s="454"/>
      <c r="BY819" s="454"/>
      <c r="BZ819" s="454"/>
      <c r="CA819" s="454"/>
      <c r="CB819" s="454"/>
      <c r="CC819" s="454"/>
      <c r="CD819" s="454"/>
      <c r="CE819" s="454"/>
      <c r="CF819" s="454"/>
      <c r="CG819" s="454"/>
      <c r="CH819" s="456"/>
      <c r="CI819" s="454"/>
      <c r="CJ819" s="454"/>
      <c r="CK819" s="454"/>
      <c r="CL819" s="454"/>
    </row>
    <row r="820" spans="1:90" s="461" customFormat="1" ht="12" customHeight="1" x14ac:dyDescent="0.15">
      <c r="A820" s="522" t="s">
        <v>3426</v>
      </c>
      <c r="B820" s="467">
        <v>42588</v>
      </c>
      <c r="C820" s="468" t="s">
        <v>3655</v>
      </c>
      <c r="D820" s="468" t="s">
        <v>3298</v>
      </c>
      <c r="E820" s="468" t="s">
        <v>3699</v>
      </c>
      <c r="F820" s="468" t="s">
        <v>3686</v>
      </c>
      <c r="G820" s="466">
        <v>9</v>
      </c>
      <c r="H820" s="465">
        <v>7.5</v>
      </c>
      <c r="I820" s="466"/>
      <c r="J820" s="466"/>
      <c r="K820" s="466">
        <v>14</v>
      </c>
      <c r="L820" s="506">
        <v>6</v>
      </c>
      <c r="M820" s="463">
        <v>4855</v>
      </c>
      <c r="N820" s="468" t="s">
        <v>5135</v>
      </c>
      <c r="O820" s="466">
        <v>8</v>
      </c>
      <c r="P820" s="523">
        <v>-13.75</v>
      </c>
      <c r="Q820" s="462">
        <v>1.0395833333333331E-3</v>
      </c>
      <c r="R820" s="463">
        <v>99</v>
      </c>
      <c r="S820" s="466" t="s">
        <v>625</v>
      </c>
      <c r="T820" s="524"/>
      <c r="W820" s="460"/>
      <c r="AY820" s="486">
        <f t="shared" si="52"/>
        <v>99</v>
      </c>
      <c r="AZ820" s="487" t="str">
        <f t="shared" si="53"/>
        <v/>
      </c>
      <c r="CH820" s="459"/>
    </row>
    <row r="821" spans="1:90" s="461" customFormat="1" ht="12" customHeight="1" x14ac:dyDescent="0.15">
      <c r="A821" s="522" t="s">
        <v>4009</v>
      </c>
      <c r="B821" s="467">
        <v>42588</v>
      </c>
      <c r="C821" s="468" t="s">
        <v>4013</v>
      </c>
      <c r="D821" s="468" t="s">
        <v>4014</v>
      </c>
      <c r="E821" s="468" t="s">
        <v>3956</v>
      </c>
      <c r="F821" s="468" t="s">
        <v>3686</v>
      </c>
      <c r="G821" s="466">
        <v>10</v>
      </c>
      <c r="H821" s="465">
        <v>6.5</v>
      </c>
      <c r="I821" s="466"/>
      <c r="J821" s="466"/>
      <c r="K821" s="466">
        <v>14</v>
      </c>
      <c r="L821" s="506">
        <f>7/2</f>
        <v>3.5</v>
      </c>
      <c r="M821" s="463">
        <v>4862</v>
      </c>
      <c r="N821" s="468" t="s">
        <v>5135</v>
      </c>
      <c r="O821" s="466">
        <v>13</v>
      </c>
      <c r="P821" s="523">
        <v>-14.25</v>
      </c>
      <c r="Q821" s="462">
        <v>9.0648148148148163E-4</v>
      </c>
      <c r="R821" s="463">
        <v>99</v>
      </c>
      <c r="S821" s="466" t="s">
        <v>625</v>
      </c>
      <c r="T821" s="524" t="s">
        <v>3755</v>
      </c>
      <c r="W821" s="460"/>
      <c r="AY821" s="486">
        <f t="shared" si="52"/>
        <v>99</v>
      </c>
      <c r="AZ821" s="487" t="str">
        <f t="shared" si="53"/>
        <v/>
      </c>
      <c r="CH821" s="459"/>
    </row>
    <row r="822" spans="1:90" s="461" customFormat="1" ht="12" customHeight="1" x14ac:dyDescent="0.15">
      <c r="A822" s="522" t="s">
        <v>121</v>
      </c>
      <c r="B822" s="467">
        <v>42588</v>
      </c>
      <c r="C822" s="468" t="s">
        <v>4959</v>
      </c>
      <c r="D822" s="468" t="s">
        <v>4970</v>
      </c>
      <c r="E822" s="468" t="s">
        <v>5389</v>
      </c>
      <c r="F822" s="468" t="s">
        <v>1162</v>
      </c>
      <c r="G822" s="466">
        <v>8</v>
      </c>
      <c r="H822" s="465">
        <v>8.5</v>
      </c>
      <c r="I822" s="466" t="s">
        <v>3730</v>
      </c>
      <c r="J822" s="466"/>
      <c r="K822" s="466">
        <v>11</v>
      </c>
      <c r="L822" s="506">
        <v>30</v>
      </c>
      <c r="M822" s="463">
        <v>10000</v>
      </c>
      <c r="N822" s="468" t="s">
        <v>4924</v>
      </c>
      <c r="O822" s="466">
        <v>9</v>
      </c>
      <c r="P822" s="523">
        <v>13.5</v>
      </c>
      <c r="Q822" s="462">
        <v>1.1821759259259259E-3</v>
      </c>
      <c r="R822" s="463">
        <v>0</v>
      </c>
      <c r="S822" s="466"/>
      <c r="T822" s="524"/>
      <c r="W822" s="460"/>
      <c r="AY822" s="486" t="str">
        <f t="shared" si="52"/>
        <v/>
      </c>
      <c r="AZ822" s="487" t="str">
        <f t="shared" si="53"/>
        <v/>
      </c>
      <c r="CH822" s="459"/>
    </row>
    <row r="823" spans="1:90" s="461" customFormat="1" ht="12" customHeight="1" x14ac:dyDescent="0.15">
      <c r="A823" s="522" t="s">
        <v>3470</v>
      </c>
      <c r="B823" s="467">
        <v>42588</v>
      </c>
      <c r="C823" s="468" t="s">
        <v>5034</v>
      </c>
      <c r="D823" s="468" t="s">
        <v>3472</v>
      </c>
      <c r="E823" s="468" t="s">
        <v>3683</v>
      </c>
      <c r="F823" s="468" t="s">
        <v>3686</v>
      </c>
      <c r="G823" s="466">
        <v>11</v>
      </c>
      <c r="H823" s="465">
        <v>6</v>
      </c>
      <c r="I823" s="466"/>
      <c r="J823" s="466"/>
      <c r="K823" s="466">
        <v>14</v>
      </c>
      <c r="L823" s="506">
        <v>6</v>
      </c>
      <c r="M823" s="463">
        <v>4668</v>
      </c>
      <c r="N823" s="468" t="s">
        <v>5135</v>
      </c>
      <c r="O823" s="466">
        <v>7</v>
      </c>
      <c r="P823" s="523">
        <v>-9.25</v>
      </c>
      <c r="Q823" s="462">
        <v>8.0856481481481491E-4</v>
      </c>
      <c r="R823" s="463">
        <v>99</v>
      </c>
      <c r="S823" s="466" t="s">
        <v>625</v>
      </c>
      <c r="T823" s="524"/>
      <c r="W823" s="460"/>
      <c r="AY823" s="486">
        <f t="shared" si="52"/>
        <v>99</v>
      </c>
      <c r="AZ823" s="487" t="str">
        <f t="shared" si="53"/>
        <v/>
      </c>
      <c r="CH823" s="459"/>
    </row>
    <row r="824" spans="1:90" s="469" customFormat="1" ht="12" customHeight="1" x14ac:dyDescent="0.15">
      <c r="A824" s="444" t="s">
        <v>4518</v>
      </c>
      <c r="B824" s="445">
        <v>42588</v>
      </c>
      <c r="C824" s="446" t="s">
        <v>4519</v>
      </c>
      <c r="D824" s="446" t="s">
        <v>5227</v>
      </c>
      <c r="E824" s="446" t="s">
        <v>3848</v>
      </c>
      <c r="F824" s="446" t="s">
        <v>3686</v>
      </c>
      <c r="G824" s="447">
        <v>12</v>
      </c>
      <c r="H824" s="448">
        <v>6</v>
      </c>
      <c r="I824" s="447"/>
      <c r="J824" s="447"/>
      <c r="K824" s="447">
        <v>14</v>
      </c>
      <c r="L824" s="449">
        <v>3</v>
      </c>
      <c r="M824" s="450">
        <v>5518</v>
      </c>
      <c r="N824" s="446" t="s">
        <v>5137</v>
      </c>
      <c r="O824" s="447">
        <v>1</v>
      </c>
      <c r="P824" s="451">
        <v>0.25</v>
      </c>
      <c r="Q824" s="452">
        <v>8.137731481481481E-4</v>
      </c>
      <c r="R824" s="450">
        <v>3335</v>
      </c>
      <c r="S824" s="447" t="s">
        <v>625</v>
      </c>
      <c r="T824" s="453" t="s">
        <v>3714</v>
      </c>
      <c r="U824" s="454"/>
      <c r="V824" s="454"/>
      <c r="W824" s="455"/>
      <c r="X824" s="454"/>
      <c r="Y824" s="454"/>
      <c r="Z824" s="454"/>
      <c r="AA824" s="454"/>
      <c r="AB824" s="454"/>
      <c r="AC824" s="454"/>
      <c r="AD824" s="454"/>
      <c r="AE824" s="454"/>
      <c r="AF824" s="454"/>
      <c r="AG824" s="454"/>
      <c r="AH824" s="454"/>
      <c r="AI824" s="454"/>
      <c r="AJ824" s="454"/>
      <c r="AK824" s="454"/>
      <c r="AL824" s="454"/>
      <c r="AM824" s="454"/>
      <c r="AN824" s="454"/>
      <c r="AO824" s="454"/>
      <c r="AP824" s="454"/>
      <c r="AQ824" s="454"/>
      <c r="AR824" s="454"/>
      <c r="AS824" s="454"/>
      <c r="AT824" s="454"/>
      <c r="AU824" s="454"/>
      <c r="AV824" s="454"/>
      <c r="AW824" s="454"/>
      <c r="AX824" s="454"/>
      <c r="AY824" s="486">
        <f t="shared" si="52"/>
        <v>3335</v>
      </c>
      <c r="AZ824" s="487">
        <f t="shared" si="53"/>
        <v>1</v>
      </c>
      <c r="BA824" s="454"/>
      <c r="BB824" s="454"/>
      <c r="BC824" s="454"/>
      <c r="BD824" s="454"/>
      <c r="BE824" s="454"/>
      <c r="BF824" s="454"/>
      <c r="BG824" s="454"/>
      <c r="BH824" s="454"/>
      <c r="BI824" s="454"/>
      <c r="BJ824" s="454"/>
      <c r="BK824" s="454"/>
      <c r="BL824" s="454"/>
      <c r="BM824" s="454"/>
      <c r="BN824" s="454"/>
      <c r="BO824" s="454"/>
      <c r="BP824" s="454"/>
      <c r="BQ824" s="454"/>
      <c r="BR824" s="454"/>
      <c r="BS824" s="454"/>
      <c r="BT824" s="454"/>
      <c r="BU824" s="454"/>
      <c r="BV824" s="454"/>
      <c r="BW824" s="454"/>
      <c r="BX824" s="454"/>
      <c r="BY824" s="454"/>
      <c r="BZ824" s="454"/>
      <c r="CA824" s="454"/>
      <c r="CB824" s="454"/>
      <c r="CC824" s="454"/>
      <c r="CD824" s="454"/>
      <c r="CE824" s="454"/>
      <c r="CF824" s="454"/>
      <c r="CG824" s="454"/>
      <c r="CH824" s="456"/>
      <c r="CI824" s="454"/>
      <c r="CJ824" s="454"/>
      <c r="CK824" s="454"/>
      <c r="CL824" s="454"/>
    </row>
    <row r="825" spans="1:90" s="461" customFormat="1" ht="12" customHeight="1" x14ac:dyDescent="0.15">
      <c r="A825" s="522" t="s">
        <v>5136</v>
      </c>
      <c r="B825" s="467">
        <v>42588</v>
      </c>
      <c r="C825" s="468" t="s">
        <v>5138</v>
      </c>
      <c r="D825" s="468" t="s">
        <v>3942</v>
      </c>
      <c r="E825" s="468" t="s">
        <v>4299</v>
      </c>
      <c r="F825" s="468" t="s">
        <v>3686</v>
      </c>
      <c r="G825" s="466">
        <v>12</v>
      </c>
      <c r="H825" s="465">
        <v>6</v>
      </c>
      <c r="I825" s="466"/>
      <c r="J825" s="466"/>
      <c r="K825" s="466">
        <v>14</v>
      </c>
      <c r="L825" s="506">
        <f>9/2</f>
        <v>4.5</v>
      </c>
      <c r="M825" s="463">
        <v>5518</v>
      </c>
      <c r="N825" s="468" t="s">
        <v>5137</v>
      </c>
      <c r="O825" s="466">
        <v>2</v>
      </c>
      <c r="P825" s="523">
        <v>-0.25</v>
      </c>
      <c r="Q825" s="462">
        <v>8.137731481481481E-4</v>
      </c>
      <c r="R825" s="463">
        <v>1167</v>
      </c>
      <c r="S825" s="466" t="s">
        <v>625</v>
      </c>
      <c r="T825" s="524"/>
      <c r="W825" s="460"/>
      <c r="AY825" s="486">
        <f t="shared" ref="AY825:AY846" si="54">IF(S825="","",R825)</f>
        <v>1167</v>
      </c>
      <c r="AZ825" s="487" t="str">
        <f t="shared" ref="AZ825:AZ846" si="55">IF(F825="Pleasant Meadows","",IF(L825="","",IF(O825="--","",IF(O825=1,1,""))))</f>
        <v/>
      </c>
      <c r="CH825" s="459"/>
    </row>
    <row r="826" spans="1:90" s="461" customFormat="1" ht="12" customHeight="1" x14ac:dyDescent="0.15">
      <c r="A826" s="522" t="s">
        <v>4010</v>
      </c>
      <c r="B826" s="467">
        <v>42588</v>
      </c>
      <c r="C826" s="468" t="s">
        <v>4015</v>
      </c>
      <c r="D826" s="468" t="s">
        <v>4016</v>
      </c>
      <c r="E826" s="468" t="s">
        <v>3957</v>
      </c>
      <c r="F826" s="468" t="s">
        <v>3686</v>
      </c>
      <c r="G826" s="466">
        <v>12</v>
      </c>
      <c r="H826" s="465">
        <v>6</v>
      </c>
      <c r="I826" s="466"/>
      <c r="J826" s="466"/>
      <c r="K826" s="466">
        <v>14</v>
      </c>
      <c r="L826" s="506">
        <f>7/2</f>
        <v>3.5</v>
      </c>
      <c r="M826" s="463">
        <v>5518</v>
      </c>
      <c r="N826" s="468" t="s">
        <v>5137</v>
      </c>
      <c r="O826" s="466">
        <v>3</v>
      </c>
      <c r="P826" s="523">
        <v>-3.25</v>
      </c>
      <c r="Q826" s="462">
        <v>8.137731481481481E-4</v>
      </c>
      <c r="R826" s="463">
        <v>723</v>
      </c>
      <c r="S826" s="466" t="s">
        <v>625</v>
      </c>
      <c r="T826" s="524" t="s">
        <v>3755</v>
      </c>
      <c r="W826" s="460"/>
      <c r="AY826" s="486">
        <f t="shared" si="54"/>
        <v>723</v>
      </c>
      <c r="AZ826" s="487" t="str">
        <f t="shared" si="55"/>
        <v/>
      </c>
      <c r="CH826" s="459"/>
    </row>
    <row r="827" spans="1:90" s="461" customFormat="1" ht="12" customHeight="1" x14ac:dyDescent="0.15">
      <c r="A827" s="522" t="s">
        <v>1816</v>
      </c>
      <c r="B827" s="467">
        <v>42588</v>
      </c>
      <c r="C827" s="468" t="s">
        <v>3704</v>
      </c>
      <c r="D827" s="468" t="s">
        <v>3705</v>
      </c>
      <c r="E827" s="468" t="s">
        <v>3280</v>
      </c>
      <c r="F827" s="468" t="s">
        <v>2376</v>
      </c>
      <c r="G827" s="466">
        <v>4</v>
      </c>
      <c r="H827" s="465">
        <v>8.5</v>
      </c>
      <c r="I827" s="466" t="s">
        <v>3730</v>
      </c>
      <c r="J827" s="466"/>
      <c r="K827" s="466">
        <v>10</v>
      </c>
      <c r="L827" s="506">
        <f>9/2</f>
        <v>4.5</v>
      </c>
      <c r="M827" s="463">
        <v>100000</v>
      </c>
      <c r="N827" s="468" t="s">
        <v>5357</v>
      </c>
      <c r="O827" s="466">
        <v>10</v>
      </c>
      <c r="P827" s="523">
        <v>-23.75</v>
      </c>
      <c r="Q827" s="462">
        <v>1.18125E-3</v>
      </c>
      <c r="R827" s="463">
        <v>0</v>
      </c>
      <c r="S827" s="466"/>
      <c r="T827" s="524"/>
      <c r="W827" s="460"/>
      <c r="AY827" s="486" t="str">
        <f t="shared" si="54"/>
        <v/>
      </c>
      <c r="AZ827" s="487" t="str">
        <f t="shared" si="55"/>
        <v/>
      </c>
      <c r="CH827" s="459"/>
    </row>
    <row r="828" spans="1:90" s="469" customFormat="1" ht="12" customHeight="1" x14ac:dyDescent="0.15">
      <c r="A828" s="471" t="s">
        <v>1816</v>
      </c>
      <c r="B828" s="472">
        <v>42588</v>
      </c>
      <c r="C828" s="471" t="s">
        <v>3704</v>
      </c>
      <c r="D828" s="471" t="s">
        <v>3705</v>
      </c>
      <c r="E828" s="471" t="s">
        <v>3188</v>
      </c>
      <c r="F828" s="471" t="s">
        <v>2377</v>
      </c>
      <c r="G828" s="473">
        <v>7</v>
      </c>
      <c r="H828" s="474">
        <v>8.5</v>
      </c>
      <c r="I828" s="475"/>
      <c r="J828" s="475"/>
      <c r="K828" s="473">
        <v>12</v>
      </c>
      <c r="L828" s="485" t="s">
        <v>431</v>
      </c>
      <c r="M828" s="476">
        <v>200000</v>
      </c>
      <c r="N828" s="471" t="s">
        <v>5356</v>
      </c>
      <c r="O828" s="637" t="s">
        <v>431</v>
      </c>
      <c r="P828" s="478" t="s">
        <v>431</v>
      </c>
      <c r="Q828" s="479" t="s">
        <v>431</v>
      </c>
      <c r="R828" s="480" t="s">
        <v>431</v>
      </c>
      <c r="S828" s="477"/>
      <c r="T828" s="481" t="s">
        <v>4110</v>
      </c>
      <c r="U828" s="482"/>
      <c r="V828" s="482"/>
      <c r="W828" s="483"/>
      <c r="X828" s="482"/>
      <c r="Y828" s="482"/>
      <c r="Z828" s="482"/>
      <c r="AA828" s="482"/>
      <c r="AB828" s="482"/>
      <c r="AC828" s="482"/>
      <c r="AD828" s="482"/>
      <c r="AE828" s="482"/>
      <c r="AF828" s="482"/>
      <c r="AG828" s="482"/>
      <c r="AH828" s="482"/>
      <c r="AI828" s="482"/>
      <c r="AJ828" s="482"/>
      <c r="AK828" s="482"/>
      <c r="AL828" s="482"/>
      <c r="AM828" s="482"/>
      <c r="AN828" s="482"/>
      <c r="AO828" s="482"/>
      <c r="AP828" s="482"/>
      <c r="AQ828" s="482"/>
      <c r="AR828" s="482"/>
      <c r="AS828" s="482"/>
      <c r="AT828" s="482"/>
      <c r="AU828" s="482"/>
      <c r="AV828" s="482"/>
      <c r="AW828" s="482"/>
      <c r="AX828" s="482"/>
      <c r="AY828" s="486" t="str">
        <f t="shared" si="54"/>
        <v/>
      </c>
      <c r="AZ828" s="487" t="str">
        <f t="shared" si="55"/>
        <v/>
      </c>
      <c r="BA828" s="482"/>
      <c r="BB828" s="482"/>
      <c r="BC828" s="482"/>
      <c r="BD828" s="482"/>
      <c r="BE828" s="482"/>
      <c r="BF828" s="482"/>
      <c r="BG828" s="482"/>
      <c r="BH828" s="482"/>
      <c r="BI828" s="482"/>
      <c r="BJ828" s="482"/>
      <c r="BK828" s="482"/>
      <c r="BL828" s="482"/>
      <c r="BM828" s="482"/>
      <c r="BN828" s="482"/>
      <c r="BO828" s="482"/>
      <c r="BP828" s="482"/>
      <c r="BQ828" s="482"/>
      <c r="BR828" s="482"/>
      <c r="BS828" s="482"/>
      <c r="BT828" s="482"/>
      <c r="BU828" s="482"/>
      <c r="BV828" s="482"/>
      <c r="BW828" s="482"/>
      <c r="BX828" s="482"/>
      <c r="BY828" s="482"/>
      <c r="BZ828" s="482"/>
      <c r="CA828" s="482"/>
      <c r="CB828" s="482"/>
      <c r="CC828" s="482"/>
      <c r="CD828" s="482"/>
      <c r="CE828" s="482"/>
      <c r="CF828" s="482"/>
      <c r="CG828" s="482"/>
      <c r="CH828" s="484"/>
    </row>
    <row r="829" spans="1:90" s="469" customFormat="1" ht="12" customHeight="1" x14ac:dyDescent="0.15">
      <c r="A829" s="471" t="s">
        <v>1816</v>
      </c>
      <c r="B829" s="472">
        <v>42588</v>
      </c>
      <c r="C829" s="471" t="s">
        <v>3704</v>
      </c>
      <c r="D829" s="471" t="s">
        <v>3705</v>
      </c>
      <c r="E829" s="471" t="s">
        <v>3188</v>
      </c>
      <c r="F829" s="471" t="s">
        <v>2377</v>
      </c>
      <c r="G829" s="473">
        <v>9</v>
      </c>
      <c r="H829" s="474">
        <v>8.3000000000000007</v>
      </c>
      <c r="I829" s="475" t="s">
        <v>3730</v>
      </c>
      <c r="J829" s="475"/>
      <c r="K829" s="473">
        <v>12</v>
      </c>
      <c r="L829" s="485" t="s">
        <v>431</v>
      </c>
      <c r="M829" s="476">
        <v>100000</v>
      </c>
      <c r="N829" s="471" t="s">
        <v>5355</v>
      </c>
      <c r="O829" s="637" t="s">
        <v>431</v>
      </c>
      <c r="P829" s="478" t="s">
        <v>431</v>
      </c>
      <c r="Q829" s="479" t="s">
        <v>431</v>
      </c>
      <c r="R829" s="480" t="s">
        <v>431</v>
      </c>
      <c r="S829" s="477"/>
      <c r="T829" s="481" t="s">
        <v>4110</v>
      </c>
      <c r="U829" s="482"/>
      <c r="V829" s="482"/>
      <c r="W829" s="483"/>
      <c r="X829" s="482"/>
      <c r="Y829" s="482"/>
      <c r="Z829" s="482"/>
      <c r="AA829" s="482"/>
      <c r="AB829" s="482"/>
      <c r="AC829" s="482"/>
      <c r="AD829" s="482"/>
      <c r="AE829" s="482"/>
      <c r="AF829" s="482"/>
      <c r="AG829" s="482"/>
      <c r="AH829" s="482"/>
      <c r="AI829" s="482"/>
      <c r="AJ829" s="482"/>
      <c r="AK829" s="482"/>
      <c r="AL829" s="482"/>
      <c r="AM829" s="482"/>
      <c r="AN829" s="482"/>
      <c r="AO829" s="482"/>
      <c r="AP829" s="482"/>
      <c r="AQ829" s="482"/>
      <c r="AR829" s="482"/>
      <c r="AS829" s="482"/>
      <c r="AT829" s="482"/>
      <c r="AU829" s="482"/>
      <c r="AV829" s="482"/>
      <c r="AW829" s="482"/>
      <c r="AX829" s="482"/>
      <c r="AY829" s="486" t="str">
        <f t="shared" si="54"/>
        <v/>
      </c>
      <c r="AZ829" s="487" t="str">
        <f t="shared" si="55"/>
        <v/>
      </c>
      <c r="BA829" s="482"/>
      <c r="BB829" s="482"/>
      <c r="BC829" s="482"/>
      <c r="BD829" s="482"/>
      <c r="BE829" s="482"/>
      <c r="BF829" s="482"/>
      <c r="BG829" s="482"/>
      <c r="BH829" s="482"/>
      <c r="BI829" s="482"/>
      <c r="BJ829" s="482"/>
      <c r="BK829" s="482"/>
      <c r="BL829" s="482"/>
      <c r="BM829" s="482"/>
      <c r="BN829" s="482"/>
      <c r="BO829" s="482"/>
      <c r="BP829" s="482"/>
      <c r="BQ829" s="482"/>
      <c r="BR829" s="482"/>
      <c r="BS829" s="482"/>
      <c r="BT829" s="482"/>
      <c r="BU829" s="482"/>
      <c r="BV829" s="482"/>
      <c r="BW829" s="482"/>
      <c r="BX829" s="482"/>
      <c r="BY829" s="482"/>
      <c r="BZ829" s="482"/>
      <c r="CA829" s="482"/>
      <c r="CB829" s="482"/>
      <c r="CC829" s="482"/>
      <c r="CD829" s="482"/>
      <c r="CE829" s="482"/>
      <c r="CF829" s="482"/>
      <c r="CG829" s="482"/>
      <c r="CH829" s="484"/>
    </row>
    <row r="830" spans="1:90" s="469" customFormat="1" ht="12" customHeight="1" x14ac:dyDescent="0.15">
      <c r="A830" s="471" t="s">
        <v>1943</v>
      </c>
      <c r="B830" s="472">
        <v>42588</v>
      </c>
      <c r="C830" s="471" t="s">
        <v>3736</v>
      </c>
      <c r="D830" s="471" t="s">
        <v>3737</v>
      </c>
      <c r="E830" s="471" t="s">
        <v>3188</v>
      </c>
      <c r="F830" s="471" t="s">
        <v>775</v>
      </c>
      <c r="G830" s="473">
        <v>5</v>
      </c>
      <c r="H830" s="474">
        <v>8.5</v>
      </c>
      <c r="I830" s="475" t="s">
        <v>3730</v>
      </c>
      <c r="J830" s="475"/>
      <c r="K830" s="473">
        <v>10</v>
      </c>
      <c r="L830" s="485" t="s">
        <v>431</v>
      </c>
      <c r="M830" s="476">
        <v>75000</v>
      </c>
      <c r="N830" s="471" t="s">
        <v>5354</v>
      </c>
      <c r="O830" s="637" t="s">
        <v>431</v>
      </c>
      <c r="P830" s="478" t="s">
        <v>431</v>
      </c>
      <c r="Q830" s="479" t="s">
        <v>431</v>
      </c>
      <c r="R830" s="480" t="s">
        <v>431</v>
      </c>
      <c r="S830" s="477"/>
      <c r="T830" s="481" t="s">
        <v>4110</v>
      </c>
      <c r="U830" s="482"/>
      <c r="V830" s="482"/>
      <c r="W830" s="483"/>
      <c r="X830" s="482"/>
      <c r="Y830" s="482"/>
      <c r="Z830" s="482"/>
      <c r="AA830" s="482"/>
      <c r="AB830" s="482"/>
      <c r="AC830" s="482"/>
      <c r="AD830" s="482"/>
      <c r="AE830" s="482"/>
      <c r="AF830" s="482"/>
      <c r="AG830" s="482"/>
      <c r="AH830" s="482"/>
      <c r="AI830" s="482"/>
      <c r="AJ830" s="482"/>
      <c r="AK830" s="482"/>
      <c r="AL830" s="482"/>
      <c r="AM830" s="482"/>
      <c r="AN830" s="482"/>
      <c r="AO830" s="482"/>
      <c r="AP830" s="482"/>
      <c r="AQ830" s="482"/>
      <c r="AR830" s="482"/>
      <c r="AS830" s="482"/>
      <c r="AT830" s="482"/>
      <c r="AU830" s="482"/>
      <c r="AV830" s="482"/>
      <c r="AW830" s="482"/>
      <c r="AX830" s="482"/>
      <c r="AY830" s="486" t="str">
        <f t="shared" si="54"/>
        <v/>
      </c>
      <c r="AZ830" s="487" t="str">
        <f t="shared" si="55"/>
        <v/>
      </c>
      <c r="BA830" s="482"/>
      <c r="BB830" s="482"/>
      <c r="BC830" s="482"/>
      <c r="BD830" s="482"/>
      <c r="BE830" s="482"/>
      <c r="BF830" s="482"/>
      <c r="BG830" s="482"/>
      <c r="BH830" s="482"/>
      <c r="BI830" s="482"/>
      <c r="BJ830" s="482"/>
      <c r="BK830" s="482"/>
      <c r="BL830" s="482"/>
      <c r="BM830" s="482"/>
      <c r="BN830" s="482"/>
      <c r="BO830" s="482"/>
      <c r="BP830" s="482"/>
      <c r="BQ830" s="482"/>
      <c r="BR830" s="482"/>
      <c r="BS830" s="482"/>
      <c r="BT830" s="482"/>
      <c r="BU830" s="482"/>
      <c r="BV830" s="482"/>
      <c r="BW830" s="482"/>
      <c r="BX830" s="482"/>
      <c r="BY830" s="482"/>
      <c r="BZ830" s="482"/>
      <c r="CA830" s="482"/>
      <c r="CB830" s="482"/>
      <c r="CC830" s="482"/>
      <c r="CD830" s="482"/>
      <c r="CE830" s="482"/>
      <c r="CF830" s="482"/>
      <c r="CG830" s="482"/>
      <c r="CH830" s="484"/>
    </row>
    <row r="831" spans="1:90" s="461" customFormat="1" ht="12" customHeight="1" x14ac:dyDescent="0.15">
      <c r="A831" s="522" t="s">
        <v>5378</v>
      </c>
      <c r="B831" s="467">
        <v>42589</v>
      </c>
      <c r="C831" s="468" t="s">
        <v>3370</v>
      </c>
      <c r="D831" s="468" t="s">
        <v>3902</v>
      </c>
      <c r="E831" s="468" t="s">
        <v>4243</v>
      </c>
      <c r="F831" s="468" t="s">
        <v>3685</v>
      </c>
      <c r="G831" s="466">
        <v>2</v>
      </c>
      <c r="H831" s="465">
        <v>7.5</v>
      </c>
      <c r="I831" s="466"/>
      <c r="J831" s="466"/>
      <c r="K831" s="466">
        <v>11</v>
      </c>
      <c r="L831" s="525">
        <v>4</v>
      </c>
      <c r="M831" s="463">
        <v>4529</v>
      </c>
      <c r="N831" s="468" t="s">
        <v>3348</v>
      </c>
      <c r="O831" s="466">
        <v>9</v>
      </c>
      <c r="P831" s="523">
        <v>-14</v>
      </c>
      <c r="Q831" s="462">
        <v>1.0785879629629628E-3</v>
      </c>
      <c r="R831" s="463">
        <v>65</v>
      </c>
      <c r="S831" s="466" t="s">
        <v>625</v>
      </c>
      <c r="T831" s="524" t="s">
        <v>3755</v>
      </c>
      <c r="W831" s="460"/>
      <c r="AY831" s="486">
        <f t="shared" si="54"/>
        <v>65</v>
      </c>
      <c r="AZ831" s="487" t="str">
        <f t="shared" si="55"/>
        <v/>
      </c>
      <c r="CH831" s="459"/>
    </row>
    <row r="832" spans="1:90" s="461" customFormat="1" ht="12" customHeight="1" x14ac:dyDescent="0.15">
      <c r="A832" s="522" t="s">
        <v>4621</v>
      </c>
      <c r="B832" s="467">
        <v>42589</v>
      </c>
      <c r="C832" s="468" t="s">
        <v>4908</v>
      </c>
      <c r="D832" s="468" t="s">
        <v>3892</v>
      </c>
      <c r="E832" s="468" t="s">
        <v>5110</v>
      </c>
      <c r="F832" s="468" t="s">
        <v>540</v>
      </c>
      <c r="G832" s="466">
        <v>3</v>
      </c>
      <c r="H832" s="465">
        <v>7.5</v>
      </c>
      <c r="I832" s="466" t="s">
        <v>3730</v>
      </c>
      <c r="J832" s="466"/>
      <c r="K832" s="466">
        <v>6</v>
      </c>
      <c r="L832" s="525">
        <v>4</v>
      </c>
      <c r="M832" s="463">
        <v>18000</v>
      </c>
      <c r="N832" s="468" t="s">
        <v>4910</v>
      </c>
      <c r="O832" s="466">
        <v>6</v>
      </c>
      <c r="P832" s="523">
        <v>-12</v>
      </c>
      <c r="Q832" s="462">
        <v>1.0657407407407406E-3</v>
      </c>
      <c r="R832" s="463">
        <v>160</v>
      </c>
      <c r="S832" s="466"/>
      <c r="T832" s="524"/>
      <c r="W832" s="460"/>
      <c r="AY832" s="486" t="str">
        <f t="shared" si="54"/>
        <v/>
      </c>
      <c r="AZ832" s="487" t="str">
        <f t="shared" si="55"/>
        <v/>
      </c>
      <c r="CH832" s="459"/>
    </row>
    <row r="833" spans="1:90" s="461" customFormat="1" ht="12" customHeight="1" x14ac:dyDescent="0.15">
      <c r="A833" s="522" t="s">
        <v>5186</v>
      </c>
      <c r="B833" s="467">
        <v>42589</v>
      </c>
      <c r="C833" s="468" t="s">
        <v>5187</v>
      </c>
      <c r="D833" s="468" t="s">
        <v>5188</v>
      </c>
      <c r="E833" s="468" t="s">
        <v>5196</v>
      </c>
      <c r="F833" s="468" t="s">
        <v>3685</v>
      </c>
      <c r="G833" s="466">
        <v>6</v>
      </c>
      <c r="H833" s="465">
        <v>5</v>
      </c>
      <c r="I833" s="466"/>
      <c r="J833" s="466"/>
      <c r="K833" s="466">
        <v>12</v>
      </c>
      <c r="L833" s="506">
        <v>20</v>
      </c>
      <c r="M833" s="463">
        <v>4289</v>
      </c>
      <c r="N833" s="468" t="s">
        <v>3348</v>
      </c>
      <c r="O833" s="466" t="s">
        <v>3872</v>
      </c>
      <c r="P833" s="523" t="s">
        <v>3873</v>
      </c>
      <c r="Q833" s="462">
        <v>7.7546296296296304E-4</v>
      </c>
      <c r="R833" s="463">
        <v>0</v>
      </c>
      <c r="S833" s="466" t="s">
        <v>625</v>
      </c>
      <c r="T833" s="524"/>
      <c r="W833" s="460"/>
      <c r="AY833" s="486">
        <f t="shared" si="54"/>
        <v>0</v>
      </c>
      <c r="AZ833" s="487" t="str">
        <f t="shared" si="55"/>
        <v/>
      </c>
      <c r="CH833" s="459"/>
    </row>
    <row r="834" spans="1:90" s="461" customFormat="1" ht="12" customHeight="1" x14ac:dyDescent="0.15">
      <c r="A834" s="522" t="s">
        <v>4758</v>
      </c>
      <c r="B834" s="467">
        <v>42589</v>
      </c>
      <c r="C834" s="468" t="s">
        <v>4954</v>
      </c>
      <c r="D834" s="468" t="s">
        <v>5106</v>
      </c>
      <c r="E834" s="468" t="s">
        <v>5107</v>
      </c>
      <c r="F834" s="468" t="s">
        <v>3685</v>
      </c>
      <c r="G834" s="466">
        <v>7</v>
      </c>
      <c r="H834" s="465">
        <v>6.5</v>
      </c>
      <c r="I834" s="466"/>
      <c r="J834" s="466"/>
      <c r="K834" s="466">
        <v>14</v>
      </c>
      <c r="L834" s="506">
        <v>3</v>
      </c>
      <c r="M834" s="463">
        <v>2857</v>
      </c>
      <c r="N834" s="468" t="s">
        <v>5129</v>
      </c>
      <c r="O834" s="466">
        <v>4</v>
      </c>
      <c r="P834" s="555">
        <v>-5</v>
      </c>
      <c r="Q834" s="462">
        <v>9.1840277777777786E-4</v>
      </c>
      <c r="R834" s="463">
        <v>173</v>
      </c>
      <c r="S834" s="466" t="s">
        <v>625</v>
      </c>
      <c r="T834" s="524" t="s">
        <v>4793</v>
      </c>
      <c r="W834" s="460"/>
      <c r="AY834" s="486">
        <f t="shared" si="54"/>
        <v>173</v>
      </c>
      <c r="AZ834" s="487" t="str">
        <f t="shared" si="55"/>
        <v/>
      </c>
      <c r="CH834" s="459"/>
    </row>
    <row r="835" spans="1:90" s="461" customFormat="1" ht="12" customHeight="1" x14ac:dyDescent="0.15">
      <c r="A835" s="522" t="s">
        <v>4374</v>
      </c>
      <c r="B835" s="467">
        <v>42589</v>
      </c>
      <c r="C835" s="468" t="s">
        <v>4375</v>
      </c>
      <c r="D835" s="468" t="s">
        <v>4376</v>
      </c>
      <c r="E835" s="468" t="s">
        <v>4388</v>
      </c>
      <c r="F835" s="468" t="s">
        <v>3934</v>
      </c>
      <c r="G835" s="466">
        <v>7</v>
      </c>
      <c r="H835" s="465">
        <v>5</v>
      </c>
      <c r="I835" s="466"/>
      <c r="J835" s="466"/>
      <c r="K835" s="466">
        <v>14</v>
      </c>
      <c r="L835" s="464" t="s">
        <v>431</v>
      </c>
      <c r="M835" s="463">
        <v>1717</v>
      </c>
      <c r="N835" s="468" t="s">
        <v>3739</v>
      </c>
      <c r="O835" s="466">
        <v>3</v>
      </c>
      <c r="P835" s="523">
        <v>-6.5</v>
      </c>
      <c r="Q835" s="462">
        <v>8.1770833333333337E-4</v>
      </c>
      <c r="R835" s="463">
        <v>30</v>
      </c>
      <c r="S835" s="466" t="s">
        <v>625</v>
      </c>
      <c r="T835" s="524"/>
      <c r="W835" s="460"/>
      <c r="AY835" s="486">
        <f t="shared" si="54"/>
        <v>30</v>
      </c>
      <c r="AZ835" s="487" t="str">
        <f t="shared" si="55"/>
        <v/>
      </c>
      <c r="CH835" s="459"/>
    </row>
    <row r="836" spans="1:90" s="461" customFormat="1" ht="12" customHeight="1" x14ac:dyDescent="0.15">
      <c r="A836" s="522" t="s">
        <v>4548</v>
      </c>
      <c r="B836" s="467">
        <v>42589</v>
      </c>
      <c r="C836" s="468" t="s">
        <v>4658</v>
      </c>
      <c r="D836" s="468" t="s">
        <v>4657</v>
      </c>
      <c r="E836" s="468" t="s">
        <v>5375</v>
      </c>
      <c r="F836" s="468" t="s">
        <v>2377</v>
      </c>
      <c r="G836" s="466">
        <v>4</v>
      </c>
      <c r="H836" s="465">
        <v>8</v>
      </c>
      <c r="I836" s="466"/>
      <c r="J836" s="466"/>
      <c r="K836" s="466">
        <v>7</v>
      </c>
      <c r="L836" s="601">
        <v>20</v>
      </c>
      <c r="M836" s="463">
        <v>6300</v>
      </c>
      <c r="N836" s="468" t="s">
        <v>197</v>
      </c>
      <c r="O836" s="466">
        <v>6</v>
      </c>
      <c r="P836" s="523">
        <v>-20.5</v>
      </c>
      <c r="Q836" s="462">
        <v>1.2046296296296295E-3</v>
      </c>
      <c r="R836" s="463">
        <v>63</v>
      </c>
      <c r="S836" s="466"/>
      <c r="T836" s="524"/>
      <c r="W836" s="460"/>
      <c r="AY836" s="486" t="str">
        <f t="shared" si="54"/>
        <v/>
      </c>
      <c r="AZ836" s="487" t="str">
        <f t="shared" si="55"/>
        <v/>
      </c>
      <c r="CH836" s="459"/>
    </row>
    <row r="837" spans="1:90" s="461" customFormat="1" ht="12" customHeight="1" x14ac:dyDescent="0.15">
      <c r="A837" s="522" t="s">
        <v>3178</v>
      </c>
      <c r="B837" s="467">
        <v>42591</v>
      </c>
      <c r="C837" s="468" t="s">
        <v>2268</v>
      </c>
      <c r="D837" s="468" t="s">
        <v>4224</v>
      </c>
      <c r="E837" s="468" t="s">
        <v>5017</v>
      </c>
      <c r="F837" s="468" t="s">
        <v>4171</v>
      </c>
      <c r="G837" s="466">
        <v>9</v>
      </c>
      <c r="H837" s="465">
        <v>7</v>
      </c>
      <c r="I837" s="466"/>
      <c r="J837" s="466"/>
      <c r="K837" s="466">
        <v>12</v>
      </c>
      <c r="L837" s="601">
        <v>15</v>
      </c>
      <c r="M837" s="463">
        <v>31000</v>
      </c>
      <c r="N837" s="468" t="s">
        <v>4598</v>
      </c>
      <c r="O837" s="466">
        <v>2</v>
      </c>
      <c r="P837" s="523">
        <v>-1.25</v>
      </c>
      <c r="Q837" s="462">
        <v>9.7615740740740736E-4</v>
      </c>
      <c r="R837" s="463">
        <v>8680</v>
      </c>
      <c r="S837" s="466"/>
      <c r="T837" s="524" t="s">
        <v>5447</v>
      </c>
      <c r="W837" s="460"/>
      <c r="AY837" s="486" t="str">
        <f t="shared" si="54"/>
        <v/>
      </c>
      <c r="AZ837" s="487" t="str">
        <f t="shared" si="55"/>
        <v/>
      </c>
      <c r="CH837" s="459"/>
    </row>
    <row r="838" spans="1:90" s="461" customFormat="1" ht="12" customHeight="1" x14ac:dyDescent="0.15">
      <c r="A838" s="522" t="s">
        <v>1295</v>
      </c>
      <c r="B838" s="467">
        <v>42592</v>
      </c>
      <c r="C838" s="468" t="s">
        <v>5413</v>
      </c>
      <c r="D838" s="468" t="s">
        <v>5414</v>
      </c>
      <c r="E838" s="468" t="s">
        <v>5366</v>
      </c>
      <c r="F838" s="468" t="s">
        <v>5311</v>
      </c>
      <c r="G838" s="466">
        <v>9</v>
      </c>
      <c r="H838" s="465">
        <v>14</v>
      </c>
      <c r="I838" s="466"/>
      <c r="J838" s="466" t="s">
        <v>960</v>
      </c>
      <c r="K838" s="466">
        <v>6</v>
      </c>
      <c r="L838" s="601">
        <v>3</v>
      </c>
      <c r="M838" s="463">
        <v>100000</v>
      </c>
      <c r="N838" s="468" t="s">
        <v>5415</v>
      </c>
      <c r="O838" s="466">
        <v>3</v>
      </c>
      <c r="P838" s="523">
        <v>-9.25</v>
      </c>
      <c r="Q838" s="462">
        <v>2.0968749999999998E-3</v>
      </c>
      <c r="R838" s="463">
        <v>10000</v>
      </c>
      <c r="S838" s="466"/>
      <c r="T838" s="524"/>
      <c r="W838" s="460"/>
      <c r="AY838" s="486" t="str">
        <f t="shared" si="54"/>
        <v/>
      </c>
      <c r="AZ838" s="487" t="str">
        <f t="shared" si="55"/>
        <v/>
      </c>
      <c r="CH838" s="459"/>
    </row>
    <row r="839" spans="1:90" s="469" customFormat="1" ht="12" customHeight="1" x14ac:dyDescent="0.15">
      <c r="A839" s="444" t="s">
        <v>2278</v>
      </c>
      <c r="B839" s="445">
        <v>42592</v>
      </c>
      <c r="C839" s="446" t="s">
        <v>4747</v>
      </c>
      <c r="D839" s="446" t="s">
        <v>4742</v>
      </c>
      <c r="E839" s="446" t="s">
        <v>4968</v>
      </c>
      <c r="F839" s="446" t="s">
        <v>4828</v>
      </c>
      <c r="G839" s="447">
        <v>4</v>
      </c>
      <c r="H839" s="448">
        <v>6.5</v>
      </c>
      <c r="I839" s="447" t="s">
        <v>1360</v>
      </c>
      <c r="J839" s="447"/>
      <c r="K839" s="447">
        <v>7</v>
      </c>
      <c r="L839" s="449">
        <v>3</v>
      </c>
      <c r="M839" s="450">
        <v>13000</v>
      </c>
      <c r="N839" s="446" t="s">
        <v>4305</v>
      </c>
      <c r="O839" s="447">
        <v>1</v>
      </c>
      <c r="P839" s="451">
        <v>1.25</v>
      </c>
      <c r="Q839" s="452">
        <v>9.1469907407407396E-4</v>
      </c>
      <c r="R839" s="450">
        <v>7800</v>
      </c>
      <c r="S839" s="447"/>
      <c r="T839" s="453" t="s">
        <v>3714</v>
      </c>
      <c r="U839" s="454"/>
      <c r="V839" s="454"/>
      <c r="W839" s="455"/>
      <c r="X839" s="454"/>
      <c r="Y839" s="454"/>
      <c r="Z839" s="454"/>
      <c r="AA839" s="454"/>
      <c r="AB839" s="454"/>
      <c r="AC839" s="454"/>
      <c r="AD839" s="454"/>
      <c r="AE839" s="454"/>
      <c r="AF839" s="454"/>
      <c r="AG839" s="454"/>
      <c r="AH839" s="454"/>
      <c r="AI839" s="454"/>
      <c r="AJ839" s="454"/>
      <c r="AK839" s="454"/>
      <c r="AL839" s="454"/>
      <c r="AM839" s="454"/>
      <c r="AN839" s="454"/>
      <c r="AO839" s="454"/>
      <c r="AP839" s="454"/>
      <c r="AQ839" s="454"/>
      <c r="AR839" s="454"/>
      <c r="AS839" s="454"/>
      <c r="AT839" s="454"/>
      <c r="AU839" s="454"/>
      <c r="AV839" s="454"/>
      <c r="AW839" s="454"/>
      <c r="AX839" s="454"/>
      <c r="AY839" s="486" t="str">
        <f t="shared" si="54"/>
        <v/>
      </c>
      <c r="AZ839" s="487">
        <f t="shared" si="55"/>
        <v>1</v>
      </c>
      <c r="BA839" s="454"/>
      <c r="BB839" s="454"/>
      <c r="BC839" s="454"/>
      <c r="BD839" s="454"/>
      <c r="BE839" s="454"/>
      <c r="BF839" s="454"/>
      <c r="BG839" s="454"/>
      <c r="BH839" s="454"/>
      <c r="BI839" s="454"/>
      <c r="BJ839" s="454"/>
      <c r="BK839" s="454"/>
      <c r="BL839" s="454"/>
      <c r="BM839" s="454"/>
      <c r="BN839" s="454"/>
      <c r="BO839" s="454"/>
      <c r="BP839" s="454"/>
      <c r="BQ839" s="454"/>
      <c r="BR839" s="454"/>
      <c r="BS839" s="454"/>
      <c r="BT839" s="454"/>
      <c r="BU839" s="454"/>
      <c r="BV839" s="454"/>
      <c r="BW839" s="454"/>
      <c r="BX839" s="454"/>
      <c r="BY839" s="454"/>
      <c r="BZ839" s="454"/>
      <c r="CA839" s="454"/>
      <c r="CB839" s="454"/>
      <c r="CC839" s="454"/>
      <c r="CD839" s="454"/>
      <c r="CE839" s="454"/>
      <c r="CF839" s="454"/>
      <c r="CG839" s="454"/>
      <c r="CH839" s="456"/>
      <c r="CI839" s="454"/>
      <c r="CJ839" s="454"/>
      <c r="CK839" s="454"/>
      <c r="CL839" s="454"/>
    </row>
    <row r="840" spans="1:90" s="469" customFormat="1" ht="12" customHeight="1" x14ac:dyDescent="0.15">
      <c r="A840" s="444" t="s">
        <v>1381</v>
      </c>
      <c r="B840" s="445">
        <v>42592</v>
      </c>
      <c r="C840" s="446" t="s">
        <v>4512</v>
      </c>
      <c r="D840" s="446" t="s">
        <v>5400</v>
      </c>
      <c r="E840" s="446" t="s">
        <v>5401</v>
      </c>
      <c r="F840" s="446" t="s">
        <v>2377</v>
      </c>
      <c r="G840" s="447">
        <v>2</v>
      </c>
      <c r="H840" s="448">
        <v>6</v>
      </c>
      <c r="I840" s="447"/>
      <c r="J840" s="447" t="s">
        <v>961</v>
      </c>
      <c r="K840" s="447">
        <v>10</v>
      </c>
      <c r="L840" s="449">
        <f>9/2</f>
        <v>4.5</v>
      </c>
      <c r="M840" s="450">
        <v>6300</v>
      </c>
      <c r="N840" s="446" t="s">
        <v>197</v>
      </c>
      <c r="O840" s="447">
        <v>1</v>
      </c>
      <c r="P840" s="451" t="s">
        <v>4378</v>
      </c>
      <c r="Q840" s="452">
        <v>8.4236111111111111E-4</v>
      </c>
      <c r="R840" s="450">
        <v>3654</v>
      </c>
      <c r="S840" s="447"/>
      <c r="T840" s="453" t="s">
        <v>3755</v>
      </c>
      <c r="U840" s="454"/>
      <c r="V840" s="454"/>
      <c r="W840" s="455"/>
      <c r="X840" s="454"/>
      <c r="Y840" s="454"/>
      <c r="Z840" s="454"/>
      <c r="AA840" s="454"/>
      <c r="AB840" s="454"/>
      <c r="AC840" s="454"/>
      <c r="AD840" s="454"/>
      <c r="AE840" s="454"/>
      <c r="AF840" s="454"/>
      <c r="AG840" s="454"/>
      <c r="AH840" s="454"/>
      <c r="AI840" s="454"/>
      <c r="AJ840" s="454"/>
      <c r="AK840" s="454"/>
      <c r="AL840" s="454"/>
      <c r="AM840" s="454"/>
      <c r="AN840" s="454"/>
      <c r="AO840" s="454"/>
      <c r="AP840" s="454"/>
      <c r="AQ840" s="454"/>
      <c r="AR840" s="454"/>
      <c r="AS840" s="454"/>
      <c r="AT840" s="454"/>
      <c r="AU840" s="454"/>
      <c r="AV840" s="454"/>
      <c r="AW840" s="454"/>
      <c r="AX840" s="454"/>
      <c r="AY840" s="486" t="str">
        <f t="shared" si="54"/>
        <v/>
      </c>
      <c r="AZ840" s="487">
        <f t="shared" si="55"/>
        <v>1</v>
      </c>
      <c r="BA840" s="454"/>
      <c r="BB840" s="454"/>
      <c r="BC840" s="454"/>
      <c r="BD840" s="454"/>
      <c r="BE840" s="454"/>
      <c r="BF840" s="454"/>
      <c r="BG840" s="454"/>
      <c r="BH840" s="454"/>
      <c r="BI840" s="454"/>
      <c r="BJ840" s="454"/>
      <c r="BK840" s="454"/>
      <c r="BL840" s="454"/>
      <c r="BM840" s="454"/>
      <c r="BN840" s="454"/>
      <c r="BO840" s="454"/>
      <c r="BP840" s="454"/>
      <c r="BQ840" s="454"/>
      <c r="BR840" s="454"/>
      <c r="BS840" s="454"/>
      <c r="BT840" s="454"/>
      <c r="BU840" s="454"/>
      <c r="BV840" s="454"/>
      <c r="BW840" s="454"/>
      <c r="BX840" s="454"/>
      <c r="BY840" s="454"/>
      <c r="BZ840" s="454"/>
      <c r="CA840" s="454"/>
      <c r="CB840" s="454"/>
      <c r="CC840" s="454"/>
      <c r="CD840" s="454"/>
      <c r="CE840" s="454"/>
      <c r="CF840" s="454"/>
      <c r="CG840" s="454"/>
      <c r="CH840" s="456"/>
      <c r="CI840" s="454"/>
      <c r="CJ840" s="454"/>
      <c r="CK840" s="454"/>
      <c r="CL840" s="454"/>
    </row>
    <row r="841" spans="1:90" s="461" customFormat="1" ht="12" customHeight="1" x14ac:dyDescent="0.15">
      <c r="A841" s="522" t="s">
        <v>2364</v>
      </c>
      <c r="B841" s="467">
        <v>42592</v>
      </c>
      <c r="C841" s="468" t="s">
        <v>3922</v>
      </c>
      <c r="D841" s="468" t="s">
        <v>3923</v>
      </c>
      <c r="E841" s="468" t="s">
        <v>3924</v>
      </c>
      <c r="F841" s="468" t="s">
        <v>4828</v>
      </c>
      <c r="G841" s="466">
        <v>8</v>
      </c>
      <c r="H841" s="465">
        <v>6</v>
      </c>
      <c r="I841" s="466" t="s">
        <v>1360</v>
      </c>
      <c r="J841" s="466"/>
      <c r="K841" s="466">
        <v>7</v>
      </c>
      <c r="L841" s="601">
        <v>3</v>
      </c>
      <c r="M841" s="463">
        <v>16000</v>
      </c>
      <c r="N841" s="468" t="s">
        <v>4720</v>
      </c>
      <c r="O841" s="466">
        <v>3</v>
      </c>
      <c r="P841" s="523">
        <v>-1.5</v>
      </c>
      <c r="Q841" s="462">
        <v>8.2106481481481473E-4</v>
      </c>
      <c r="R841" s="463">
        <v>2080</v>
      </c>
      <c r="S841" s="466"/>
      <c r="T841" s="524"/>
      <c r="W841" s="460"/>
      <c r="AY841" s="486" t="str">
        <f t="shared" si="54"/>
        <v/>
      </c>
      <c r="AZ841" s="487" t="str">
        <f t="shared" si="55"/>
        <v/>
      </c>
      <c r="CH841" s="459"/>
    </row>
    <row r="842" spans="1:90" s="469" customFormat="1" ht="12" customHeight="1" x14ac:dyDescent="0.15">
      <c r="A842" s="444" t="s">
        <v>21</v>
      </c>
      <c r="B842" s="445">
        <v>42593</v>
      </c>
      <c r="C842" s="446" t="s">
        <v>5212</v>
      </c>
      <c r="D842" s="446" t="s">
        <v>4323</v>
      </c>
      <c r="E842" s="446" t="s">
        <v>4036</v>
      </c>
      <c r="F842" s="446" t="s">
        <v>775</v>
      </c>
      <c r="G842" s="447">
        <v>4</v>
      </c>
      <c r="H842" s="448">
        <v>7.5</v>
      </c>
      <c r="I842" s="447" t="s">
        <v>3730</v>
      </c>
      <c r="J842" s="447"/>
      <c r="K842" s="447">
        <v>9</v>
      </c>
      <c r="L842" s="449">
        <f>9/5</f>
        <v>1.8</v>
      </c>
      <c r="M842" s="450">
        <v>24500</v>
      </c>
      <c r="N842" s="446" t="s">
        <v>5393</v>
      </c>
      <c r="O842" s="447">
        <v>1</v>
      </c>
      <c r="P842" s="451">
        <v>2</v>
      </c>
      <c r="Q842" s="452">
        <v>1.0596064814814815E-3</v>
      </c>
      <c r="R842" s="450">
        <v>14700</v>
      </c>
      <c r="S842" s="447"/>
      <c r="T842" s="453" t="s">
        <v>5717</v>
      </c>
      <c r="U842" s="454"/>
      <c r="V842" s="454"/>
      <c r="W842" s="455"/>
      <c r="X842" s="454"/>
      <c r="Y842" s="454"/>
      <c r="Z842" s="454"/>
      <c r="AA842" s="454"/>
      <c r="AB842" s="454"/>
      <c r="AC842" s="454"/>
      <c r="AD842" s="454"/>
      <c r="AE842" s="454"/>
      <c r="AF842" s="454"/>
      <c r="AG842" s="454"/>
      <c r="AH842" s="454"/>
      <c r="AI842" s="454"/>
      <c r="AJ842" s="454"/>
      <c r="AK842" s="454"/>
      <c r="AL842" s="454"/>
      <c r="AM842" s="454"/>
      <c r="AN842" s="454"/>
      <c r="AO842" s="454"/>
      <c r="AP842" s="454"/>
      <c r="AQ842" s="454"/>
      <c r="AR842" s="454"/>
      <c r="AS842" s="454"/>
      <c r="AT842" s="454"/>
      <c r="AU842" s="454"/>
      <c r="AV842" s="454"/>
      <c r="AW842" s="454"/>
      <c r="AX842" s="454"/>
      <c r="AY842" s="486" t="str">
        <f t="shared" si="54"/>
        <v/>
      </c>
      <c r="AZ842" s="487">
        <f t="shared" si="55"/>
        <v>1</v>
      </c>
      <c r="BA842" s="454"/>
      <c r="BB842" s="454"/>
      <c r="BC842" s="454"/>
      <c r="BD842" s="454"/>
      <c r="BE842" s="454"/>
      <c r="BF842" s="454"/>
      <c r="BG842" s="454"/>
      <c r="BH842" s="454"/>
      <c r="BI842" s="454"/>
      <c r="BJ842" s="454"/>
      <c r="BK842" s="454"/>
      <c r="BL842" s="454"/>
      <c r="BM842" s="454"/>
      <c r="BN842" s="454"/>
      <c r="BO842" s="454"/>
      <c r="BP842" s="454"/>
      <c r="BQ842" s="454"/>
      <c r="BR842" s="454"/>
      <c r="BS842" s="454"/>
      <c r="BT842" s="454"/>
      <c r="BU842" s="454"/>
      <c r="BV842" s="454"/>
      <c r="BW842" s="454"/>
      <c r="BX842" s="454"/>
      <c r="BY842" s="454"/>
      <c r="BZ842" s="454"/>
      <c r="CA842" s="454"/>
      <c r="CB842" s="454"/>
      <c r="CC842" s="454"/>
      <c r="CD842" s="454"/>
      <c r="CE842" s="454"/>
      <c r="CF842" s="454"/>
      <c r="CG842" s="454"/>
      <c r="CH842" s="456"/>
      <c r="CI842" s="454"/>
      <c r="CJ842" s="454"/>
      <c r="CK842" s="454"/>
      <c r="CL842" s="454"/>
    </row>
    <row r="843" spans="1:90" s="461" customFormat="1" ht="12" customHeight="1" x14ac:dyDescent="0.15">
      <c r="A843" s="522" t="s">
        <v>36</v>
      </c>
      <c r="B843" s="467">
        <v>42593</v>
      </c>
      <c r="C843" s="468" t="s">
        <v>4563</v>
      </c>
      <c r="D843" s="468" t="s">
        <v>4564</v>
      </c>
      <c r="E843" s="468" t="s">
        <v>5416</v>
      </c>
      <c r="F843" s="468" t="s">
        <v>256</v>
      </c>
      <c r="G843" s="466">
        <v>8</v>
      </c>
      <c r="H843" s="465">
        <v>8</v>
      </c>
      <c r="I843" s="466"/>
      <c r="J843" s="466"/>
      <c r="K843" s="466">
        <v>9</v>
      </c>
      <c r="L843" s="601">
        <v>5</v>
      </c>
      <c r="M843" s="463">
        <v>12000</v>
      </c>
      <c r="N843" s="468" t="s">
        <v>4674</v>
      </c>
      <c r="O843" s="466">
        <v>7</v>
      </c>
      <c r="P843" s="523">
        <v>-5.75</v>
      </c>
      <c r="Q843" s="462">
        <v>8.3055555555555563E-4</v>
      </c>
      <c r="R843" s="463">
        <v>100</v>
      </c>
      <c r="S843" s="466"/>
      <c r="T843" s="524" t="s">
        <v>5460</v>
      </c>
      <c r="W843" s="460"/>
      <c r="AY843" s="486" t="str">
        <f t="shared" si="54"/>
        <v/>
      </c>
      <c r="AZ843" s="487" t="str">
        <f t="shared" si="55"/>
        <v/>
      </c>
      <c r="CH843" s="459"/>
    </row>
    <row r="844" spans="1:90" s="469" customFormat="1" ht="12" customHeight="1" x14ac:dyDescent="0.15">
      <c r="A844" s="444" t="s">
        <v>4192</v>
      </c>
      <c r="B844" s="445">
        <v>42594</v>
      </c>
      <c r="C844" s="446" t="s">
        <v>3305</v>
      </c>
      <c r="D844" s="446" t="s">
        <v>4189</v>
      </c>
      <c r="E844" s="446" t="s">
        <v>5456</v>
      </c>
      <c r="F844" s="446" t="s">
        <v>4187</v>
      </c>
      <c r="G844" s="447">
        <v>10</v>
      </c>
      <c r="H844" s="448">
        <v>6.5</v>
      </c>
      <c r="I844" s="447"/>
      <c r="J844" s="447"/>
      <c r="K844" s="447">
        <v>8</v>
      </c>
      <c r="L844" s="448" t="s">
        <v>431</v>
      </c>
      <c r="M844" s="450">
        <v>50041</v>
      </c>
      <c r="N844" s="446" t="s">
        <v>5457</v>
      </c>
      <c r="O844" s="447">
        <v>1</v>
      </c>
      <c r="P844" s="451">
        <v>0.5</v>
      </c>
      <c r="Q844" s="452">
        <v>9.4560185185185188E-4</v>
      </c>
      <c r="R844" s="450">
        <v>28458</v>
      </c>
      <c r="S844" s="447" t="s">
        <v>625</v>
      </c>
      <c r="T844" s="453"/>
      <c r="U844" s="454"/>
      <c r="V844" s="454"/>
      <c r="W844" s="455"/>
      <c r="X844" s="454"/>
      <c r="Y844" s="454"/>
      <c r="Z844" s="454"/>
      <c r="AA844" s="454"/>
      <c r="AB844" s="454"/>
      <c r="AC844" s="454"/>
      <c r="AD844" s="454"/>
      <c r="AE844" s="454"/>
      <c r="AF844" s="454"/>
      <c r="AG844" s="454"/>
      <c r="AH844" s="454"/>
      <c r="AI844" s="454"/>
      <c r="AJ844" s="454"/>
      <c r="AK844" s="454"/>
      <c r="AL844" s="454"/>
      <c r="AM844" s="454"/>
      <c r="AN844" s="454"/>
      <c r="AO844" s="454"/>
      <c r="AP844" s="454"/>
      <c r="AQ844" s="454"/>
      <c r="AR844" s="454"/>
      <c r="AS844" s="454"/>
      <c r="AT844" s="454"/>
      <c r="AU844" s="454"/>
      <c r="AV844" s="454"/>
      <c r="AW844" s="454"/>
      <c r="AX844" s="454"/>
      <c r="AY844" s="486">
        <f t="shared" ref="AY844" si="56">IF(S844="","",R844)</f>
        <v>28458</v>
      </c>
      <c r="AZ844" s="487">
        <f t="shared" ref="AZ844" si="57">IF(F844="Pleasant Meadows","",IF(L844="","",IF(O844="--","",IF(O844=1,1,""))))</f>
        <v>1</v>
      </c>
      <c r="BA844" s="454"/>
      <c r="BB844" s="454"/>
      <c r="BC844" s="454"/>
      <c r="BD844" s="454"/>
      <c r="BE844" s="454"/>
      <c r="BF844" s="454"/>
      <c r="BG844" s="454"/>
      <c r="BH844" s="454"/>
      <c r="BI844" s="454"/>
      <c r="BJ844" s="454"/>
      <c r="BK844" s="454"/>
      <c r="BL844" s="454"/>
      <c r="BM844" s="454"/>
      <c r="BN844" s="454"/>
      <c r="BO844" s="454"/>
      <c r="BP844" s="454"/>
      <c r="BQ844" s="454"/>
      <c r="BR844" s="454"/>
      <c r="BS844" s="454"/>
      <c r="BT844" s="454"/>
      <c r="BU844" s="454"/>
      <c r="BV844" s="454"/>
      <c r="BW844" s="454"/>
      <c r="BX844" s="454"/>
      <c r="BY844" s="454"/>
      <c r="BZ844" s="454"/>
      <c r="CA844" s="454"/>
      <c r="CB844" s="454"/>
      <c r="CC844" s="454"/>
      <c r="CD844" s="454"/>
      <c r="CE844" s="454"/>
      <c r="CF844" s="454"/>
      <c r="CG844" s="454"/>
      <c r="CH844" s="456"/>
      <c r="CI844" s="454"/>
      <c r="CJ844" s="454"/>
      <c r="CK844" s="454"/>
      <c r="CL844" s="454"/>
    </row>
    <row r="845" spans="1:90" s="461" customFormat="1" ht="12" customHeight="1" x14ac:dyDescent="0.15">
      <c r="A845" s="522" t="s">
        <v>33</v>
      </c>
      <c r="B845" s="467">
        <v>42594</v>
      </c>
      <c r="C845" s="468" t="s">
        <v>3715</v>
      </c>
      <c r="D845" s="468" t="s">
        <v>3716</v>
      </c>
      <c r="E845" s="468" t="s">
        <v>5310</v>
      </c>
      <c r="F845" s="468" t="s">
        <v>1196</v>
      </c>
      <c r="G845" s="466">
        <v>5</v>
      </c>
      <c r="H845" s="465">
        <v>9</v>
      </c>
      <c r="I845" s="466" t="s">
        <v>3730</v>
      </c>
      <c r="J845" s="466"/>
      <c r="K845" s="466">
        <v>8</v>
      </c>
      <c r="L845" s="601">
        <v>6</v>
      </c>
      <c r="M845" s="463">
        <v>12000</v>
      </c>
      <c r="N845" s="468" t="s">
        <v>197</v>
      </c>
      <c r="O845" s="466">
        <v>4</v>
      </c>
      <c r="P845" s="523">
        <v>-3.75</v>
      </c>
      <c r="Q845" s="462">
        <v>1.289699074074074E-3</v>
      </c>
      <c r="R845" s="463">
        <v>600</v>
      </c>
      <c r="S845" s="466"/>
      <c r="T845" s="524"/>
      <c r="W845" s="460"/>
      <c r="AY845" s="486" t="str">
        <f t="shared" si="54"/>
        <v/>
      </c>
      <c r="AZ845" s="487" t="str">
        <f t="shared" si="55"/>
        <v/>
      </c>
      <c r="CH845" s="459"/>
    </row>
    <row r="846" spans="1:90" s="469" customFormat="1" ht="12" customHeight="1" x14ac:dyDescent="0.15">
      <c r="A846" s="444" t="s">
        <v>4656</v>
      </c>
      <c r="B846" s="445">
        <v>42594</v>
      </c>
      <c r="C846" s="446" t="s">
        <v>5421</v>
      </c>
      <c r="D846" s="446" t="s">
        <v>3192</v>
      </c>
      <c r="E846" s="446" t="s">
        <v>5315</v>
      </c>
      <c r="F846" s="446" t="s">
        <v>3686</v>
      </c>
      <c r="G846" s="447">
        <v>3</v>
      </c>
      <c r="H846" s="448">
        <v>5</v>
      </c>
      <c r="I846" s="447"/>
      <c r="J846" s="447"/>
      <c r="K846" s="447">
        <v>6</v>
      </c>
      <c r="L846" s="449">
        <v>6</v>
      </c>
      <c r="M846" s="450">
        <v>5623</v>
      </c>
      <c r="N846" s="446" t="s">
        <v>3739</v>
      </c>
      <c r="O846" s="447">
        <v>1</v>
      </c>
      <c r="P846" s="451">
        <v>2.25</v>
      </c>
      <c r="Q846" s="452">
        <v>6.8495370370370368E-4</v>
      </c>
      <c r="R846" s="450">
        <v>3429</v>
      </c>
      <c r="S846" s="447" t="s">
        <v>625</v>
      </c>
      <c r="T846" s="453"/>
      <c r="U846" s="454"/>
      <c r="V846" s="454"/>
      <c r="W846" s="455"/>
      <c r="X846" s="454"/>
      <c r="Y846" s="454"/>
      <c r="Z846" s="454"/>
      <c r="AA846" s="454"/>
      <c r="AB846" s="454"/>
      <c r="AC846" s="454"/>
      <c r="AD846" s="454"/>
      <c r="AE846" s="454"/>
      <c r="AF846" s="454"/>
      <c r="AG846" s="454"/>
      <c r="AH846" s="454"/>
      <c r="AI846" s="454"/>
      <c r="AJ846" s="454"/>
      <c r="AK846" s="454"/>
      <c r="AL846" s="454"/>
      <c r="AM846" s="454"/>
      <c r="AN846" s="454"/>
      <c r="AO846" s="454"/>
      <c r="AP846" s="454"/>
      <c r="AQ846" s="454"/>
      <c r="AR846" s="454"/>
      <c r="AS846" s="454"/>
      <c r="AT846" s="454"/>
      <c r="AU846" s="454"/>
      <c r="AV846" s="454"/>
      <c r="AW846" s="454"/>
      <c r="AX846" s="454"/>
      <c r="AY846" s="486">
        <f t="shared" si="54"/>
        <v>3429</v>
      </c>
      <c r="AZ846" s="487">
        <f t="shared" si="55"/>
        <v>1</v>
      </c>
      <c r="BA846" s="454"/>
      <c r="BB846" s="454"/>
      <c r="BC846" s="454"/>
      <c r="BD846" s="454"/>
      <c r="BE846" s="454"/>
      <c r="BF846" s="454"/>
      <c r="BG846" s="454"/>
      <c r="BH846" s="454"/>
      <c r="BI846" s="454"/>
      <c r="BJ846" s="454"/>
      <c r="BK846" s="454"/>
      <c r="BL846" s="454"/>
      <c r="BM846" s="454"/>
      <c r="BN846" s="454"/>
      <c r="BO846" s="454"/>
      <c r="BP846" s="454"/>
      <c r="BQ846" s="454"/>
      <c r="BR846" s="454"/>
      <c r="BS846" s="454"/>
      <c r="BT846" s="454"/>
      <c r="BU846" s="454"/>
      <c r="BV846" s="454"/>
      <c r="BW846" s="454"/>
      <c r="BX846" s="454"/>
      <c r="BY846" s="454"/>
      <c r="BZ846" s="454"/>
      <c r="CA846" s="454"/>
      <c r="CB846" s="454"/>
      <c r="CC846" s="454"/>
      <c r="CD846" s="454"/>
      <c r="CE846" s="454"/>
      <c r="CF846" s="454"/>
      <c r="CG846" s="454"/>
      <c r="CH846" s="456"/>
      <c r="CI846" s="454"/>
      <c r="CJ846" s="454"/>
      <c r="CK846" s="454"/>
      <c r="CL846" s="454"/>
    </row>
    <row r="847" spans="1:90" s="461" customFormat="1" ht="12" customHeight="1" x14ac:dyDescent="0.15">
      <c r="A847" s="522" t="s">
        <v>1557</v>
      </c>
      <c r="B847" s="467">
        <v>42594</v>
      </c>
      <c r="C847" s="468" t="s">
        <v>4250</v>
      </c>
      <c r="D847" s="468" t="s">
        <v>4247</v>
      </c>
      <c r="E847" s="468" t="s">
        <v>5029</v>
      </c>
      <c r="F847" s="468" t="s">
        <v>256</v>
      </c>
      <c r="G847" s="466">
        <v>2</v>
      </c>
      <c r="H847" s="465">
        <v>6</v>
      </c>
      <c r="I847" s="466"/>
      <c r="J847" s="466" t="s">
        <v>961</v>
      </c>
      <c r="K847" s="466">
        <v>7</v>
      </c>
      <c r="L847" s="601">
        <v>3</v>
      </c>
      <c r="M847" s="463">
        <v>11000</v>
      </c>
      <c r="N847" s="468" t="s">
        <v>197</v>
      </c>
      <c r="O847" s="466">
        <v>5</v>
      </c>
      <c r="P847" s="523">
        <v>-7.75</v>
      </c>
      <c r="Q847" s="462">
        <v>8.3298611111111117E-4</v>
      </c>
      <c r="R847" s="463">
        <v>324</v>
      </c>
      <c r="S847" s="466"/>
      <c r="T847" s="524" t="s">
        <v>3755</v>
      </c>
      <c r="W847" s="460"/>
      <c r="AY847" s="486" t="str">
        <f t="shared" ref="AY847:AY885" si="58">IF(S847="","",R847)</f>
        <v/>
      </c>
      <c r="AZ847" s="487" t="str">
        <f t="shared" ref="AZ847:AZ885" si="59">IF(F847="Pleasant Meadows","",IF(L847="","",IF(O847="--","",IF(O847=1,1,""))))</f>
        <v/>
      </c>
      <c r="CH847" s="459"/>
    </row>
    <row r="848" spans="1:90" s="461" customFormat="1" ht="12" customHeight="1" x14ac:dyDescent="0.15">
      <c r="A848" s="522" t="s">
        <v>4758</v>
      </c>
      <c r="B848" s="467">
        <v>42594</v>
      </c>
      <c r="C848" s="468" t="s">
        <v>4954</v>
      </c>
      <c r="D848" s="468" t="s">
        <v>5106</v>
      </c>
      <c r="E848" s="468" t="s">
        <v>5107</v>
      </c>
      <c r="F848" s="468" t="s">
        <v>3686</v>
      </c>
      <c r="G848" s="466">
        <v>5</v>
      </c>
      <c r="H848" s="465">
        <v>6.5</v>
      </c>
      <c r="I848" s="466"/>
      <c r="J848" s="466"/>
      <c r="K848" s="466">
        <v>9</v>
      </c>
      <c r="L848" s="601">
        <v>4</v>
      </c>
      <c r="M848" s="463">
        <v>4851</v>
      </c>
      <c r="N848" s="468" t="s">
        <v>5422</v>
      </c>
      <c r="O848" s="466">
        <v>4</v>
      </c>
      <c r="P848" s="523">
        <v>-6.5</v>
      </c>
      <c r="Q848" s="462">
        <v>8.9791666666666665E-4</v>
      </c>
      <c r="R848" s="463">
        <v>295</v>
      </c>
      <c r="S848" s="466" t="s">
        <v>625</v>
      </c>
      <c r="T848" s="639"/>
      <c r="W848" s="460"/>
      <c r="AY848" s="486">
        <f t="shared" si="58"/>
        <v>295</v>
      </c>
      <c r="AZ848" s="487" t="str">
        <f t="shared" si="59"/>
        <v/>
      </c>
      <c r="CH848" s="459"/>
    </row>
    <row r="849" spans="1:86" s="461" customFormat="1" ht="12" customHeight="1" x14ac:dyDescent="0.15">
      <c r="A849" s="522" t="s">
        <v>4174</v>
      </c>
      <c r="B849" s="467">
        <v>42594</v>
      </c>
      <c r="C849" s="468" t="s">
        <v>2564</v>
      </c>
      <c r="D849" s="468" t="s">
        <v>5225</v>
      </c>
      <c r="E849" s="468" t="s">
        <v>3961</v>
      </c>
      <c r="F849" s="468" t="s">
        <v>3686</v>
      </c>
      <c r="G849" s="466">
        <v>6</v>
      </c>
      <c r="H849" s="465">
        <v>6.5</v>
      </c>
      <c r="I849" s="466"/>
      <c r="J849" s="466"/>
      <c r="K849" s="466">
        <v>10</v>
      </c>
      <c r="L849" s="601">
        <v>12</v>
      </c>
      <c r="M849" s="463">
        <v>4851</v>
      </c>
      <c r="N849" s="468" t="s">
        <v>5422</v>
      </c>
      <c r="O849" s="466">
        <v>9</v>
      </c>
      <c r="P849" s="523">
        <v>-15</v>
      </c>
      <c r="Q849" s="462">
        <v>9.0312499999999996E-4</v>
      </c>
      <c r="R849" s="463">
        <v>99</v>
      </c>
      <c r="S849" s="466" t="s">
        <v>625</v>
      </c>
      <c r="T849" s="639"/>
      <c r="W849" s="460"/>
      <c r="AY849" s="486">
        <f t="shared" si="58"/>
        <v>99</v>
      </c>
      <c r="AZ849" s="487" t="str">
        <f t="shared" si="59"/>
        <v/>
      </c>
      <c r="CH849" s="459"/>
    </row>
    <row r="850" spans="1:86" s="461" customFormat="1" ht="12" customHeight="1" x14ac:dyDescent="0.15">
      <c r="A850" s="522" t="s">
        <v>3944</v>
      </c>
      <c r="B850" s="467">
        <v>42594</v>
      </c>
      <c r="C850" s="468" t="s">
        <v>3949</v>
      </c>
      <c r="D850" s="468" t="s">
        <v>3213</v>
      </c>
      <c r="E850" s="468" t="s">
        <v>3848</v>
      </c>
      <c r="F850" s="468" t="s">
        <v>3686</v>
      </c>
      <c r="G850" s="466">
        <v>7</v>
      </c>
      <c r="H850" s="465">
        <v>8</v>
      </c>
      <c r="I850" s="466"/>
      <c r="J850" s="466"/>
      <c r="K850" s="466">
        <v>10</v>
      </c>
      <c r="L850" s="525">
        <f>9/2</f>
        <v>4.5</v>
      </c>
      <c r="M850" s="463">
        <v>6604</v>
      </c>
      <c r="N850" s="468" t="s">
        <v>3739</v>
      </c>
      <c r="O850" s="466">
        <v>3</v>
      </c>
      <c r="P850" s="523">
        <v>-2</v>
      </c>
      <c r="Q850" s="462">
        <v>1.1232638888888887E-3</v>
      </c>
      <c r="R850" s="463">
        <v>871</v>
      </c>
      <c r="S850" s="466" t="s">
        <v>625</v>
      </c>
      <c r="T850" s="639"/>
      <c r="W850" s="460"/>
      <c r="AY850" s="486">
        <f t="shared" si="58"/>
        <v>871</v>
      </c>
      <c r="AZ850" s="487" t="str">
        <f t="shared" si="59"/>
        <v/>
      </c>
      <c r="CH850" s="459"/>
    </row>
    <row r="851" spans="1:86" s="461" customFormat="1" ht="12" customHeight="1" x14ac:dyDescent="0.15">
      <c r="A851" s="522" t="s">
        <v>3829</v>
      </c>
      <c r="B851" s="467">
        <v>42594</v>
      </c>
      <c r="C851" s="468" t="s">
        <v>2744</v>
      </c>
      <c r="D851" s="468" t="s">
        <v>3832</v>
      </c>
      <c r="E851" s="468" t="s">
        <v>3846</v>
      </c>
      <c r="F851" s="468" t="s">
        <v>3686</v>
      </c>
      <c r="G851" s="466">
        <v>7</v>
      </c>
      <c r="H851" s="465">
        <v>8</v>
      </c>
      <c r="I851" s="466"/>
      <c r="J851" s="466"/>
      <c r="K851" s="466">
        <v>10</v>
      </c>
      <c r="L851" s="525">
        <v>3</v>
      </c>
      <c r="M851" s="463">
        <v>6604</v>
      </c>
      <c r="N851" s="468" t="s">
        <v>3739</v>
      </c>
      <c r="O851" s="466">
        <v>4</v>
      </c>
      <c r="P851" s="523">
        <v>-3.5</v>
      </c>
      <c r="Q851" s="462">
        <v>1.1232638888888887E-3</v>
      </c>
      <c r="R851" s="463">
        <v>402</v>
      </c>
      <c r="S851" s="466" t="s">
        <v>625</v>
      </c>
      <c r="T851" s="639" t="s">
        <v>3714</v>
      </c>
      <c r="W851" s="460"/>
      <c r="AY851" s="486">
        <f t="shared" si="58"/>
        <v>402</v>
      </c>
      <c r="AZ851" s="487" t="str">
        <f t="shared" si="59"/>
        <v/>
      </c>
      <c r="CH851" s="459"/>
    </row>
    <row r="852" spans="1:86" s="461" customFormat="1" ht="12" customHeight="1" x14ac:dyDescent="0.15">
      <c r="A852" s="522" t="s">
        <v>1534</v>
      </c>
      <c r="B852" s="467">
        <v>42594</v>
      </c>
      <c r="C852" s="468" t="s">
        <v>4825</v>
      </c>
      <c r="D852" s="468" t="s">
        <v>4934</v>
      </c>
      <c r="E852" s="468" t="s">
        <v>5454</v>
      </c>
      <c r="F852" s="468" t="s">
        <v>2376</v>
      </c>
      <c r="G852" s="466">
        <v>6</v>
      </c>
      <c r="H852" s="465">
        <v>8.3000000000000007</v>
      </c>
      <c r="I852" s="466"/>
      <c r="J852" s="466"/>
      <c r="K852" s="466">
        <v>8</v>
      </c>
      <c r="L852" s="525">
        <f>9/2</f>
        <v>4.5</v>
      </c>
      <c r="M852" s="463">
        <v>11400</v>
      </c>
      <c r="N852" s="468" t="s">
        <v>4935</v>
      </c>
      <c r="O852" s="466">
        <v>6</v>
      </c>
      <c r="P852" s="523">
        <v>-6.75</v>
      </c>
      <c r="Q852" s="462">
        <v>1.2097222222222223E-3</v>
      </c>
      <c r="R852" s="463">
        <v>0</v>
      </c>
      <c r="S852" s="466"/>
      <c r="T852" s="639"/>
      <c r="W852" s="460"/>
      <c r="AY852" s="486" t="str">
        <f t="shared" si="58"/>
        <v/>
      </c>
      <c r="AZ852" s="487" t="str">
        <f t="shared" si="59"/>
        <v/>
      </c>
      <c r="CH852" s="459"/>
    </row>
    <row r="853" spans="1:86" s="461" customFormat="1" ht="12" customHeight="1" x14ac:dyDescent="0.15">
      <c r="A853" s="522" t="s">
        <v>351</v>
      </c>
      <c r="B853" s="467">
        <v>42594</v>
      </c>
      <c r="C853" s="468" t="s">
        <v>4845</v>
      </c>
      <c r="D853" s="468" t="s">
        <v>4841</v>
      </c>
      <c r="E853" s="468" t="s">
        <v>4842</v>
      </c>
      <c r="F853" s="468" t="s">
        <v>4843</v>
      </c>
      <c r="G853" s="466">
        <v>3</v>
      </c>
      <c r="H853" s="465">
        <v>5.5</v>
      </c>
      <c r="I853" s="466"/>
      <c r="J853" s="466"/>
      <c r="K853" s="466">
        <v>5</v>
      </c>
      <c r="L853" s="525">
        <v>10</v>
      </c>
      <c r="M853" s="463">
        <v>5868</v>
      </c>
      <c r="N853" s="468" t="s">
        <v>5432</v>
      </c>
      <c r="O853" s="466">
        <v>2</v>
      </c>
      <c r="P853" s="555" t="s">
        <v>1202</v>
      </c>
      <c r="Q853" s="462">
        <v>7.6851851851851853E-4</v>
      </c>
      <c r="R853" s="463">
        <v>1185</v>
      </c>
      <c r="S853" s="466"/>
      <c r="T853" s="639"/>
      <c r="W853" s="460"/>
      <c r="AY853" s="486" t="str">
        <f t="shared" si="58"/>
        <v/>
      </c>
      <c r="AZ853" s="487" t="str">
        <f t="shared" si="59"/>
        <v/>
      </c>
      <c r="CH853" s="459"/>
    </row>
    <row r="854" spans="1:86" s="461" customFormat="1" ht="12" customHeight="1" x14ac:dyDescent="0.15">
      <c r="A854" s="522" t="s">
        <v>122</v>
      </c>
      <c r="B854" s="467">
        <v>42595</v>
      </c>
      <c r="C854" s="468" t="s">
        <v>4346</v>
      </c>
      <c r="D854" s="468" t="s">
        <v>4347</v>
      </c>
      <c r="E854" s="468" t="s">
        <v>4271</v>
      </c>
      <c r="F854" s="468" t="s">
        <v>1162</v>
      </c>
      <c r="G854" s="466">
        <v>3</v>
      </c>
      <c r="H854" s="465">
        <v>9</v>
      </c>
      <c r="I854" s="466" t="s">
        <v>3730</v>
      </c>
      <c r="J854" s="466"/>
      <c r="K854" s="466">
        <v>8</v>
      </c>
      <c r="L854" s="525">
        <v>15</v>
      </c>
      <c r="M854" s="463">
        <v>27200</v>
      </c>
      <c r="N854" s="468" t="s">
        <v>4486</v>
      </c>
      <c r="O854" s="466">
        <v>5</v>
      </c>
      <c r="P854" s="523">
        <v>-1.5</v>
      </c>
      <c r="Q854" s="462">
        <v>1.2917824074074075E-3</v>
      </c>
      <c r="R854" s="463">
        <v>816</v>
      </c>
      <c r="S854" s="466"/>
      <c r="T854" s="639"/>
      <c r="W854" s="460"/>
      <c r="AY854" s="486" t="str">
        <f t="shared" si="58"/>
        <v/>
      </c>
      <c r="AZ854" s="487" t="str">
        <f t="shared" si="59"/>
        <v/>
      </c>
      <c r="CH854" s="459"/>
    </row>
    <row r="855" spans="1:86" s="461" customFormat="1" ht="12" customHeight="1" x14ac:dyDescent="0.15">
      <c r="A855" s="522" t="s">
        <v>56</v>
      </c>
      <c r="B855" s="467">
        <v>42595</v>
      </c>
      <c r="C855" s="468" t="s">
        <v>5453</v>
      </c>
      <c r="D855" s="468" t="s">
        <v>5451</v>
      </c>
      <c r="E855" s="468" t="s">
        <v>5452</v>
      </c>
      <c r="F855" s="468" t="s">
        <v>5450</v>
      </c>
      <c r="G855" s="466">
        <v>1</v>
      </c>
      <c r="H855" s="465">
        <v>4</v>
      </c>
      <c r="I855" s="466"/>
      <c r="J855" s="466"/>
      <c r="K855" s="466">
        <v>10</v>
      </c>
      <c r="L855" s="525">
        <v>3</v>
      </c>
      <c r="M855" s="463">
        <v>7500</v>
      </c>
      <c r="N855" s="468" t="s">
        <v>4636</v>
      </c>
      <c r="O855" s="466">
        <v>10</v>
      </c>
      <c r="P855" s="523">
        <v>-46.5</v>
      </c>
      <c r="Q855" s="462">
        <v>5.2719907407407414E-4</v>
      </c>
      <c r="R855" s="463">
        <v>0</v>
      </c>
      <c r="S855" s="466"/>
      <c r="T855" s="639"/>
      <c r="W855" s="460"/>
      <c r="AY855" s="486" t="str">
        <f t="shared" si="58"/>
        <v/>
      </c>
      <c r="AZ855" s="487" t="str">
        <f t="shared" si="59"/>
        <v/>
      </c>
      <c r="CH855" s="459"/>
    </row>
    <row r="856" spans="1:86" s="461" customFormat="1" ht="12" customHeight="1" x14ac:dyDescent="0.15">
      <c r="A856" s="522" t="s">
        <v>5423</v>
      </c>
      <c r="B856" s="467">
        <v>42595</v>
      </c>
      <c r="C856" s="468" t="s">
        <v>5424</v>
      </c>
      <c r="D856" s="468" t="s">
        <v>3725</v>
      </c>
      <c r="E856" s="468" t="s">
        <v>3699</v>
      </c>
      <c r="F856" s="468" t="s">
        <v>3686</v>
      </c>
      <c r="G856" s="466">
        <v>6</v>
      </c>
      <c r="H856" s="465">
        <v>5.5</v>
      </c>
      <c r="I856" s="466"/>
      <c r="J856" s="466"/>
      <c r="K856" s="466">
        <v>13</v>
      </c>
      <c r="L856" s="601">
        <v>5</v>
      </c>
      <c r="M856" s="463">
        <v>7283</v>
      </c>
      <c r="N856" s="468" t="s">
        <v>3653</v>
      </c>
      <c r="O856" s="466">
        <v>11</v>
      </c>
      <c r="P856" s="523">
        <v>-6.25</v>
      </c>
      <c r="Q856" s="462">
        <v>7.4791666666666669E-4</v>
      </c>
      <c r="R856" s="463">
        <v>99</v>
      </c>
      <c r="S856" s="466" t="s">
        <v>625</v>
      </c>
      <c r="T856" s="639"/>
      <c r="W856" s="460"/>
      <c r="AY856" s="486">
        <f t="shared" si="58"/>
        <v>99</v>
      </c>
      <c r="AZ856" s="487" t="str">
        <f t="shared" si="59"/>
        <v/>
      </c>
      <c r="CH856" s="459"/>
    </row>
    <row r="857" spans="1:86" s="461" customFormat="1" ht="12" customHeight="1" x14ac:dyDescent="0.15">
      <c r="A857" s="522" t="s">
        <v>2166</v>
      </c>
      <c r="B857" s="467">
        <v>42595</v>
      </c>
      <c r="C857" s="468" t="s">
        <v>4886</v>
      </c>
      <c r="D857" s="468" t="s">
        <v>5455</v>
      </c>
      <c r="E857" s="468" t="s">
        <v>3788</v>
      </c>
      <c r="F857" s="468" t="s">
        <v>2376</v>
      </c>
      <c r="G857" s="466">
        <v>3</v>
      </c>
      <c r="H857" s="465">
        <v>8</v>
      </c>
      <c r="I857" s="466" t="s">
        <v>3730</v>
      </c>
      <c r="J857" s="466" t="s">
        <v>3770</v>
      </c>
      <c r="K857" s="466">
        <v>9</v>
      </c>
      <c r="L857" s="601">
        <v>6</v>
      </c>
      <c r="M857" s="463">
        <v>29500</v>
      </c>
      <c r="N857" s="468" t="s">
        <v>4296</v>
      </c>
      <c r="O857" s="466">
        <v>2</v>
      </c>
      <c r="P857" s="523">
        <v>-0.5</v>
      </c>
      <c r="Q857" s="462">
        <v>1.1074074074074074E-3</v>
      </c>
      <c r="R857" s="463">
        <v>7080</v>
      </c>
      <c r="S857" s="466"/>
      <c r="T857" s="639"/>
      <c r="W857" s="460"/>
      <c r="AY857" s="486" t="str">
        <f t="shared" si="58"/>
        <v/>
      </c>
      <c r="AZ857" s="487" t="str">
        <f t="shared" si="59"/>
        <v/>
      </c>
      <c r="CH857" s="459"/>
    </row>
    <row r="858" spans="1:86" s="461" customFormat="1" ht="12" customHeight="1" x14ac:dyDescent="0.15">
      <c r="A858" s="522" t="s">
        <v>1953</v>
      </c>
      <c r="B858" s="467">
        <v>42595</v>
      </c>
      <c r="C858" s="468" t="s">
        <v>4719</v>
      </c>
      <c r="D858" s="468" t="s">
        <v>4860</v>
      </c>
      <c r="E858" s="468" t="s">
        <v>4979</v>
      </c>
      <c r="F858" s="468" t="s">
        <v>2376</v>
      </c>
      <c r="G858" s="466">
        <v>3</v>
      </c>
      <c r="H858" s="465">
        <v>8</v>
      </c>
      <c r="I858" s="466" t="s">
        <v>3730</v>
      </c>
      <c r="J858" s="466" t="s">
        <v>3770</v>
      </c>
      <c r="K858" s="466">
        <v>9</v>
      </c>
      <c r="L858" s="601">
        <v>6</v>
      </c>
      <c r="M858" s="463">
        <v>29500</v>
      </c>
      <c r="N858" s="468" t="s">
        <v>4296</v>
      </c>
      <c r="O858" s="466">
        <v>5</v>
      </c>
      <c r="P858" s="523">
        <v>-2.75</v>
      </c>
      <c r="Q858" s="462">
        <v>1.1074074074074074E-3</v>
      </c>
      <c r="R858" s="463">
        <v>885</v>
      </c>
      <c r="S858" s="466"/>
      <c r="T858" s="639"/>
      <c r="W858" s="460"/>
      <c r="AY858" s="486" t="str">
        <f t="shared" si="58"/>
        <v/>
      </c>
      <c r="AZ858" s="487" t="str">
        <f t="shared" si="59"/>
        <v/>
      </c>
      <c r="CH858" s="459"/>
    </row>
    <row r="859" spans="1:86" s="461" customFormat="1" ht="12" customHeight="1" x14ac:dyDescent="0.15">
      <c r="A859" s="522" t="s">
        <v>4583</v>
      </c>
      <c r="B859" s="467">
        <v>42595</v>
      </c>
      <c r="C859" s="468" t="s">
        <v>2744</v>
      </c>
      <c r="D859" s="468" t="s">
        <v>3832</v>
      </c>
      <c r="E859" s="468" t="s">
        <v>4299</v>
      </c>
      <c r="F859" s="468" t="s">
        <v>3686</v>
      </c>
      <c r="G859" s="466">
        <v>11</v>
      </c>
      <c r="H859" s="465">
        <v>6.5</v>
      </c>
      <c r="I859" s="466"/>
      <c r="J859" s="466"/>
      <c r="K859" s="466">
        <v>11</v>
      </c>
      <c r="L859" s="525">
        <v>8</v>
      </c>
      <c r="M859" s="463">
        <v>5816</v>
      </c>
      <c r="N859" s="468" t="s">
        <v>3739</v>
      </c>
      <c r="O859" s="466">
        <v>5</v>
      </c>
      <c r="P859" s="523">
        <v>-2.75</v>
      </c>
      <c r="Q859" s="462">
        <v>8.9317129629629631E-4</v>
      </c>
      <c r="R859" s="463">
        <v>99</v>
      </c>
      <c r="S859" s="466" t="s">
        <v>625</v>
      </c>
      <c r="T859" s="639"/>
      <c r="W859" s="460"/>
      <c r="AY859" s="486">
        <f t="shared" si="58"/>
        <v>99</v>
      </c>
      <c r="AZ859" s="487" t="str">
        <f t="shared" si="59"/>
        <v/>
      </c>
      <c r="CH859" s="459"/>
    </row>
    <row r="860" spans="1:86" s="461" customFormat="1" ht="12" customHeight="1" x14ac:dyDescent="0.15">
      <c r="A860" s="522" t="s">
        <v>4010</v>
      </c>
      <c r="B860" s="467">
        <v>42595</v>
      </c>
      <c r="C860" s="468" t="s">
        <v>4015</v>
      </c>
      <c r="D860" s="468" t="s">
        <v>4016</v>
      </c>
      <c r="E860" s="468" t="s">
        <v>3957</v>
      </c>
      <c r="F860" s="468" t="s">
        <v>3686</v>
      </c>
      <c r="G860" s="466">
        <v>11</v>
      </c>
      <c r="H860" s="465">
        <v>6.5</v>
      </c>
      <c r="I860" s="466"/>
      <c r="J860" s="466"/>
      <c r="K860" s="466">
        <v>11</v>
      </c>
      <c r="L860" s="525">
        <v>4</v>
      </c>
      <c r="M860" s="463">
        <v>5816</v>
      </c>
      <c r="N860" s="468" t="s">
        <v>3739</v>
      </c>
      <c r="O860" s="466">
        <v>6</v>
      </c>
      <c r="P860" s="523">
        <v>-3.75</v>
      </c>
      <c r="Q860" s="462">
        <v>8.9317129629629631E-4</v>
      </c>
      <c r="R860" s="463">
        <v>99</v>
      </c>
      <c r="S860" s="466" t="s">
        <v>625</v>
      </c>
      <c r="T860" s="639" t="s">
        <v>3755</v>
      </c>
      <c r="W860" s="460"/>
      <c r="AY860" s="486">
        <f t="shared" si="58"/>
        <v>99</v>
      </c>
      <c r="AZ860" s="487" t="str">
        <f t="shared" si="59"/>
        <v/>
      </c>
      <c r="CH860" s="459"/>
    </row>
    <row r="861" spans="1:86" s="469" customFormat="1" ht="12" customHeight="1" x14ac:dyDescent="0.15">
      <c r="A861" s="471" t="s">
        <v>4879</v>
      </c>
      <c r="B861" s="472">
        <v>42596</v>
      </c>
      <c r="C861" s="471" t="s">
        <v>4519</v>
      </c>
      <c r="D861" s="471" t="s">
        <v>5227</v>
      </c>
      <c r="E861" s="471" t="s">
        <v>4535</v>
      </c>
      <c r="F861" s="471" t="s">
        <v>3685</v>
      </c>
      <c r="G861" s="473">
        <v>3</v>
      </c>
      <c r="H861" s="474">
        <v>6.5</v>
      </c>
      <c r="I861" s="475"/>
      <c r="J861" s="475"/>
      <c r="K861" s="473">
        <v>10</v>
      </c>
      <c r="L861" s="458">
        <v>4</v>
      </c>
      <c r="M861" s="476">
        <v>5518</v>
      </c>
      <c r="N861" s="471" t="s">
        <v>5137</v>
      </c>
      <c r="O861" s="637" t="s">
        <v>431</v>
      </c>
      <c r="P861" s="478" t="s">
        <v>431</v>
      </c>
      <c r="Q861" s="479" t="s">
        <v>431</v>
      </c>
      <c r="R861" s="480" t="s">
        <v>431</v>
      </c>
      <c r="S861" s="477" t="s">
        <v>625</v>
      </c>
      <c r="T861" s="481" t="s">
        <v>3885</v>
      </c>
      <c r="U861" s="482"/>
      <c r="V861" s="482"/>
      <c r="W861" s="483"/>
      <c r="X861" s="482"/>
      <c r="Y861" s="482"/>
      <c r="Z861" s="482"/>
      <c r="AA861" s="482"/>
      <c r="AB861" s="482"/>
      <c r="AC861" s="482"/>
      <c r="AD861" s="482"/>
      <c r="AE861" s="482"/>
      <c r="AF861" s="482"/>
      <c r="AG861" s="482"/>
      <c r="AH861" s="482"/>
      <c r="AI861" s="482"/>
      <c r="AJ861" s="482"/>
      <c r="AK861" s="482"/>
      <c r="AL861" s="482"/>
      <c r="AM861" s="482"/>
      <c r="AN861" s="482"/>
      <c r="AO861" s="482"/>
      <c r="AP861" s="482"/>
      <c r="AQ861" s="482"/>
      <c r="AR861" s="482"/>
      <c r="AS861" s="482"/>
      <c r="AT861" s="482"/>
      <c r="AU861" s="482"/>
      <c r="AV861" s="482"/>
      <c r="AW861" s="482"/>
      <c r="AX861" s="482"/>
      <c r="AY861" s="486" t="str">
        <f t="shared" si="58"/>
        <v>--</v>
      </c>
      <c r="AZ861" s="487" t="str">
        <f t="shared" si="59"/>
        <v/>
      </c>
      <c r="BA861" s="482"/>
      <c r="BB861" s="482"/>
      <c r="BC861" s="482"/>
      <c r="BD861" s="482"/>
      <c r="BE861" s="482"/>
      <c r="BF861" s="482"/>
      <c r="BG861" s="482"/>
      <c r="BH861" s="482"/>
      <c r="BI861" s="482"/>
      <c r="BJ861" s="482"/>
      <c r="BK861" s="482"/>
      <c r="BL861" s="482"/>
      <c r="BM861" s="482"/>
      <c r="BN861" s="482"/>
      <c r="BO861" s="482"/>
      <c r="BP861" s="482"/>
      <c r="BQ861" s="482"/>
      <c r="BR861" s="482"/>
      <c r="BS861" s="482"/>
      <c r="BT861" s="482"/>
      <c r="BU861" s="482"/>
      <c r="BV861" s="482"/>
      <c r="BW861" s="482"/>
      <c r="BX861" s="482"/>
      <c r="BY861" s="482"/>
      <c r="BZ861" s="482"/>
      <c r="CA861" s="482"/>
      <c r="CB861" s="482"/>
      <c r="CC861" s="482"/>
      <c r="CD861" s="482"/>
      <c r="CE861" s="482"/>
      <c r="CF861" s="482"/>
      <c r="CG861" s="482"/>
      <c r="CH861" s="484"/>
    </row>
    <row r="862" spans="1:86" s="469" customFormat="1" ht="12" customHeight="1" x14ac:dyDescent="0.15">
      <c r="A862" s="471" t="s">
        <v>3669</v>
      </c>
      <c r="B862" s="472">
        <v>42596</v>
      </c>
      <c r="C862" s="471" t="s">
        <v>3654</v>
      </c>
      <c r="D862" s="471" t="s">
        <v>3298</v>
      </c>
      <c r="E862" s="471" t="s">
        <v>3699</v>
      </c>
      <c r="F862" s="471" t="s">
        <v>3685</v>
      </c>
      <c r="G862" s="473">
        <v>4</v>
      </c>
      <c r="H862" s="474">
        <v>5.5</v>
      </c>
      <c r="I862" s="475"/>
      <c r="J862" s="475"/>
      <c r="K862" s="473">
        <v>10</v>
      </c>
      <c r="L862" s="458">
        <v>4</v>
      </c>
      <c r="M862" s="476">
        <v>2854</v>
      </c>
      <c r="N862" s="471" t="s">
        <v>5185</v>
      </c>
      <c r="O862" s="637" t="s">
        <v>431</v>
      </c>
      <c r="P862" s="478" t="s">
        <v>431</v>
      </c>
      <c r="Q862" s="479" t="s">
        <v>431</v>
      </c>
      <c r="R862" s="480" t="s">
        <v>431</v>
      </c>
      <c r="S862" s="477" t="s">
        <v>625</v>
      </c>
      <c r="T862" s="481" t="s">
        <v>3885</v>
      </c>
      <c r="U862" s="482"/>
      <c r="V862" s="482"/>
      <c r="W862" s="483"/>
      <c r="X862" s="482"/>
      <c r="Y862" s="482"/>
      <c r="Z862" s="482"/>
      <c r="AA862" s="482"/>
      <c r="AB862" s="482"/>
      <c r="AC862" s="482"/>
      <c r="AD862" s="482"/>
      <c r="AE862" s="482"/>
      <c r="AF862" s="482"/>
      <c r="AG862" s="482"/>
      <c r="AH862" s="482"/>
      <c r="AI862" s="482"/>
      <c r="AJ862" s="482"/>
      <c r="AK862" s="482"/>
      <c r="AL862" s="482"/>
      <c r="AM862" s="482"/>
      <c r="AN862" s="482"/>
      <c r="AO862" s="482"/>
      <c r="AP862" s="482"/>
      <c r="AQ862" s="482"/>
      <c r="AR862" s="482"/>
      <c r="AS862" s="482"/>
      <c r="AT862" s="482"/>
      <c r="AU862" s="482"/>
      <c r="AV862" s="482"/>
      <c r="AW862" s="482"/>
      <c r="AX862" s="482"/>
      <c r="AY862" s="486" t="str">
        <f t="shared" si="58"/>
        <v>--</v>
      </c>
      <c r="AZ862" s="487" t="str">
        <f t="shared" si="59"/>
        <v/>
      </c>
      <c r="BA862" s="482"/>
      <c r="BB862" s="482"/>
      <c r="BC862" s="482"/>
      <c r="BD862" s="482"/>
      <c r="BE862" s="482"/>
      <c r="BF862" s="482"/>
      <c r="BG862" s="482"/>
      <c r="BH862" s="482"/>
      <c r="BI862" s="482"/>
      <c r="BJ862" s="482"/>
      <c r="BK862" s="482"/>
      <c r="BL862" s="482"/>
      <c r="BM862" s="482"/>
      <c r="BN862" s="482"/>
      <c r="BO862" s="482"/>
      <c r="BP862" s="482"/>
      <c r="BQ862" s="482"/>
      <c r="BR862" s="482"/>
      <c r="BS862" s="482"/>
      <c r="BT862" s="482"/>
      <c r="BU862" s="482"/>
      <c r="BV862" s="482"/>
      <c r="BW862" s="482"/>
      <c r="BX862" s="482"/>
      <c r="BY862" s="482"/>
      <c r="BZ862" s="482"/>
      <c r="CA862" s="482"/>
      <c r="CB862" s="482"/>
      <c r="CC862" s="482"/>
      <c r="CD862" s="482"/>
      <c r="CE862" s="482"/>
      <c r="CF862" s="482"/>
      <c r="CG862" s="482"/>
      <c r="CH862" s="484"/>
    </row>
    <row r="863" spans="1:86" s="461" customFormat="1" ht="12" customHeight="1" x14ac:dyDescent="0.15">
      <c r="A863" s="522" t="s">
        <v>3594</v>
      </c>
      <c r="B863" s="467">
        <v>42596</v>
      </c>
      <c r="C863" s="468" t="s">
        <v>5426</v>
      </c>
      <c r="D863" s="468" t="s">
        <v>5425</v>
      </c>
      <c r="E863" s="468" t="s">
        <v>4243</v>
      </c>
      <c r="F863" s="468" t="s">
        <v>3685</v>
      </c>
      <c r="G863" s="466">
        <v>5</v>
      </c>
      <c r="H863" s="465">
        <v>5.5</v>
      </c>
      <c r="I863" s="466"/>
      <c r="J863" s="466"/>
      <c r="K863" s="466">
        <v>10</v>
      </c>
      <c r="L863" s="525">
        <v>3</v>
      </c>
      <c r="M863" s="463">
        <v>2854</v>
      </c>
      <c r="N863" s="468" t="s">
        <v>5185</v>
      </c>
      <c r="O863" s="466">
        <v>2</v>
      </c>
      <c r="P863" s="523">
        <v>-0.5</v>
      </c>
      <c r="Q863" s="462">
        <v>7.8356481481481495E-4</v>
      </c>
      <c r="R863" s="463">
        <v>608</v>
      </c>
      <c r="S863" s="466" t="s">
        <v>625</v>
      </c>
      <c r="T863" s="639" t="s">
        <v>3714</v>
      </c>
      <c r="W863" s="460"/>
      <c r="AY863" s="486">
        <f t="shared" si="58"/>
        <v>608</v>
      </c>
      <c r="AZ863" s="487" t="str">
        <f t="shared" si="59"/>
        <v/>
      </c>
      <c r="CH863" s="459"/>
    </row>
    <row r="864" spans="1:86" s="461" customFormat="1" ht="12" customHeight="1" x14ac:dyDescent="0.15">
      <c r="A864" s="522" t="s">
        <v>57</v>
      </c>
      <c r="B864" s="467">
        <v>42596</v>
      </c>
      <c r="C864" s="468" t="s">
        <v>4472</v>
      </c>
      <c r="D864" s="468" t="s">
        <v>4300</v>
      </c>
      <c r="E864" s="468" t="s">
        <v>5458</v>
      </c>
      <c r="F864" s="468" t="s">
        <v>788</v>
      </c>
      <c r="G864" s="466">
        <v>2</v>
      </c>
      <c r="H864" s="465">
        <v>5.5</v>
      </c>
      <c r="I864" s="466" t="s">
        <v>3730</v>
      </c>
      <c r="J864" s="466"/>
      <c r="K864" s="466">
        <v>9</v>
      </c>
      <c r="L864" s="525">
        <v>6</v>
      </c>
      <c r="M864" s="463">
        <v>18000</v>
      </c>
      <c r="N864" s="468" t="s">
        <v>4924</v>
      </c>
      <c r="O864" s="466">
        <v>3</v>
      </c>
      <c r="P864" s="523">
        <v>-2</v>
      </c>
      <c r="Q864" s="462">
        <v>7.2905092592592596E-4</v>
      </c>
      <c r="R864" s="463">
        <v>1980</v>
      </c>
      <c r="S864" s="466"/>
      <c r="T864" s="639"/>
      <c r="W864" s="460"/>
      <c r="AY864" s="486" t="str">
        <f t="shared" si="58"/>
        <v/>
      </c>
      <c r="AZ864" s="487" t="str">
        <f t="shared" si="59"/>
        <v/>
      </c>
      <c r="CH864" s="459"/>
    </row>
    <row r="865" spans="1:86" s="469" customFormat="1" ht="12" customHeight="1" x14ac:dyDescent="0.15">
      <c r="A865" s="471" t="s">
        <v>5468</v>
      </c>
      <c r="B865" s="472">
        <v>42596</v>
      </c>
      <c r="C865" s="471" t="s">
        <v>5406</v>
      </c>
      <c r="D865" s="471" t="s">
        <v>5405</v>
      </c>
      <c r="E865" s="471" t="s">
        <v>5449</v>
      </c>
      <c r="F865" s="471" t="s">
        <v>4070</v>
      </c>
      <c r="G865" s="473">
        <v>6</v>
      </c>
      <c r="H865" s="474">
        <v>6</v>
      </c>
      <c r="I865" s="475"/>
      <c r="J865" s="475"/>
      <c r="K865" s="473">
        <v>9</v>
      </c>
      <c r="L865" s="485" t="s">
        <v>431</v>
      </c>
      <c r="M865" s="476">
        <v>1320</v>
      </c>
      <c r="N865" s="471" t="s">
        <v>5185</v>
      </c>
      <c r="O865" s="637" t="s">
        <v>431</v>
      </c>
      <c r="P865" s="478" t="s">
        <v>431</v>
      </c>
      <c r="Q865" s="479" t="s">
        <v>431</v>
      </c>
      <c r="R865" s="480" t="s">
        <v>431</v>
      </c>
      <c r="S865" s="477" t="s">
        <v>625</v>
      </c>
      <c r="T865" s="481" t="s">
        <v>3885</v>
      </c>
      <c r="U865" s="482"/>
      <c r="V865" s="482"/>
      <c r="W865" s="483"/>
      <c r="X865" s="482"/>
      <c r="Y865" s="482"/>
      <c r="Z865" s="482"/>
      <c r="AA865" s="482"/>
      <c r="AB865" s="482"/>
      <c r="AC865" s="482"/>
      <c r="AD865" s="482"/>
      <c r="AE865" s="482"/>
      <c r="AF865" s="482"/>
      <c r="AG865" s="482"/>
      <c r="AH865" s="482"/>
      <c r="AI865" s="482"/>
      <c r="AJ865" s="482"/>
      <c r="AK865" s="482"/>
      <c r="AL865" s="482"/>
      <c r="AM865" s="482"/>
      <c r="AN865" s="482"/>
      <c r="AO865" s="482"/>
      <c r="AP865" s="482"/>
      <c r="AQ865" s="482"/>
      <c r="AR865" s="482"/>
      <c r="AS865" s="482"/>
      <c r="AT865" s="482"/>
      <c r="AU865" s="482"/>
      <c r="AV865" s="482"/>
      <c r="AW865" s="482"/>
      <c r="AX865" s="482"/>
      <c r="AY865" s="486" t="str">
        <f t="shared" si="58"/>
        <v>--</v>
      </c>
      <c r="AZ865" s="487" t="str">
        <f t="shared" si="59"/>
        <v/>
      </c>
      <c r="BA865" s="482"/>
      <c r="BB865" s="482"/>
      <c r="BC865" s="482"/>
      <c r="BD865" s="482"/>
      <c r="BE865" s="482"/>
      <c r="BF865" s="482"/>
      <c r="BG865" s="482"/>
      <c r="BH865" s="482"/>
      <c r="BI865" s="482"/>
      <c r="BJ865" s="482"/>
      <c r="BK865" s="482"/>
      <c r="BL865" s="482"/>
      <c r="BM865" s="482"/>
      <c r="BN865" s="482"/>
      <c r="BO865" s="482"/>
      <c r="BP865" s="482"/>
      <c r="BQ865" s="482"/>
      <c r="BR865" s="482"/>
      <c r="BS865" s="482"/>
      <c r="BT865" s="482"/>
      <c r="BU865" s="482"/>
      <c r="BV865" s="482"/>
      <c r="BW865" s="482"/>
      <c r="BX865" s="482"/>
      <c r="BY865" s="482"/>
      <c r="BZ865" s="482"/>
      <c r="CA865" s="482"/>
      <c r="CB865" s="482"/>
      <c r="CC865" s="482"/>
      <c r="CD865" s="482"/>
      <c r="CE865" s="482"/>
      <c r="CF865" s="482"/>
      <c r="CG865" s="482"/>
      <c r="CH865" s="484"/>
    </row>
    <row r="866" spans="1:86" s="469" customFormat="1" ht="12" customHeight="1" x14ac:dyDescent="0.15">
      <c r="A866" s="471" t="s">
        <v>3988</v>
      </c>
      <c r="B866" s="472">
        <v>42596</v>
      </c>
      <c r="C866" s="471" t="s">
        <v>3951</v>
      </c>
      <c r="D866" s="471" t="s">
        <v>4207</v>
      </c>
      <c r="E866" s="471" t="s">
        <v>5448</v>
      </c>
      <c r="F866" s="471" t="s">
        <v>4070</v>
      </c>
      <c r="G866" s="473">
        <v>7</v>
      </c>
      <c r="H866" s="474">
        <v>5</v>
      </c>
      <c r="I866" s="475"/>
      <c r="J866" s="475"/>
      <c r="K866" s="473">
        <v>10</v>
      </c>
      <c r="L866" s="485" t="s">
        <v>431</v>
      </c>
      <c r="M866" s="476">
        <v>3081</v>
      </c>
      <c r="N866" s="471" t="s">
        <v>5407</v>
      </c>
      <c r="O866" s="637" t="s">
        <v>431</v>
      </c>
      <c r="P866" s="478" t="s">
        <v>431</v>
      </c>
      <c r="Q866" s="479" t="s">
        <v>431</v>
      </c>
      <c r="R866" s="480" t="s">
        <v>431</v>
      </c>
      <c r="S866" s="477" t="s">
        <v>625</v>
      </c>
      <c r="T866" s="481" t="s">
        <v>3885</v>
      </c>
      <c r="U866" s="482"/>
      <c r="V866" s="482"/>
      <c r="W866" s="483"/>
      <c r="X866" s="482"/>
      <c r="Y866" s="482"/>
      <c r="Z866" s="482"/>
      <c r="AA866" s="482"/>
      <c r="AB866" s="482"/>
      <c r="AC866" s="482"/>
      <c r="AD866" s="482"/>
      <c r="AE866" s="482"/>
      <c r="AF866" s="482"/>
      <c r="AG866" s="482"/>
      <c r="AH866" s="482"/>
      <c r="AI866" s="482"/>
      <c r="AJ866" s="482"/>
      <c r="AK866" s="482"/>
      <c r="AL866" s="482"/>
      <c r="AM866" s="482"/>
      <c r="AN866" s="482"/>
      <c r="AO866" s="482"/>
      <c r="AP866" s="482"/>
      <c r="AQ866" s="482"/>
      <c r="AR866" s="482"/>
      <c r="AS866" s="482"/>
      <c r="AT866" s="482"/>
      <c r="AU866" s="482"/>
      <c r="AV866" s="482"/>
      <c r="AW866" s="482"/>
      <c r="AX866" s="482"/>
      <c r="AY866" s="486" t="str">
        <f t="shared" si="58"/>
        <v>--</v>
      </c>
      <c r="AZ866" s="487" t="str">
        <f t="shared" si="59"/>
        <v/>
      </c>
      <c r="BA866" s="482"/>
      <c r="BB866" s="482"/>
      <c r="BC866" s="482"/>
      <c r="BD866" s="482"/>
      <c r="BE866" s="482"/>
      <c r="BF866" s="482"/>
      <c r="BG866" s="482"/>
      <c r="BH866" s="482"/>
      <c r="BI866" s="482"/>
      <c r="BJ866" s="482"/>
      <c r="BK866" s="482"/>
      <c r="BL866" s="482"/>
      <c r="BM866" s="482"/>
      <c r="BN866" s="482"/>
      <c r="BO866" s="482"/>
      <c r="BP866" s="482"/>
      <c r="BQ866" s="482"/>
      <c r="BR866" s="482"/>
      <c r="BS866" s="482"/>
      <c r="BT866" s="482"/>
      <c r="BU866" s="482"/>
      <c r="BV866" s="482"/>
      <c r="BW866" s="482"/>
      <c r="BX866" s="482"/>
      <c r="BY866" s="482"/>
      <c r="BZ866" s="482"/>
      <c r="CA866" s="482"/>
      <c r="CB866" s="482"/>
      <c r="CC866" s="482"/>
      <c r="CD866" s="482"/>
      <c r="CE866" s="482"/>
      <c r="CF866" s="482"/>
      <c r="CG866" s="482"/>
      <c r="CH866" s="484"/>
    </row>
    <row r="867" spans="1:86" s="461" customFormat="1" ht="12" customHeight="1" x14ac:dyDescent="0.15">
      <c r="A867" s="522" t="s">
        <v>5427</v>
      </c>
      <c r="B867" s="467">
        <v>42596</v>
      </c>
      <c r="C867" s="468" t="s">
        <v>5088</v>
      </c>
      <c r="D867" s="468" t="s">
        <v>3213</v>
      </c>
      <c r="E867" s="468" t="s">
        <v>3683</v>
      </c>
      <c r="F867" s="468" t="s">
        <v>3685</v>
      </c>
      <c r="G867" s="466">
        <v>9</v>
      </c>
      <c r="H867" s="465">
        <v>6</v>
      </c>
      <c r="I867" s="466"/>
      <c r="J867" s="466"/>
      <c r="K867" s="466">
        <v>13</v>
      </c>
      <c r="L867" s="525">
        <v>4</v>
      </c>
      <c r="M867" s="463">
        <v>4370</v>
      </c>
      <c r="N867" s="468" t="s">
        <v>3348</v>
      </c>
      <c r="O867" s="466">
        <v>7</v>
      </c>
      <c r="P867" s="523">
        <v>-11.75</v>
      </c>
      <c r="Q867" s="462">
        <v>8.6041666666666656E-4</v>
      </c>
      <c r="R867" s="463">
        <v>65</v>
      </c>
      <c r="S867" s="466" t="s">
        <v>625</v>
      </c>
      <c r="T867" s="639"/>
      <c r="W867" s="460"/>
      <c r="AY867" s="486">
        <f t="shared" si="58"/>
        <v>65</v>
      </c>
      <c r="AZ867" s="487" t="str">
        <f t="shared" si="59"/>
        <v/>
      </c>
      <c r="CH867" s="459"/>
    </row>
    <row r="868" spans="1:86" s="461" customFormat="1" ht="12" customHeight="1" x14ac:dyDescent="0.15">
      <c r="A868" s="522" t="s">
        <v>2178</v>
      </c>
      <c r="B868" s="467">
        <v>42596</v>
      </c>
      <c r="C868" s="468" t="s">
        <v>5146</v>
      </c>
      <c r="D868" s="468" t="s">
        <v>5279</v>
      </c>
      <c r="E868" s="468" t="s">
        <v>5046</v>
      </c>
      <c r="F868" s="468" t="s">
        <v>4828</v>
      </c>
      <c r="G868" s="466">
        <v>3</v>
      </c>
      <c r="H868" s="465">
        <v>6</v>
      </c>
      <c r="I868" s="466"/>
      <c r="J868" s="466"/>
      <c r="K868" s="466">
        <v>7</v>
      </c>
      <c r="L868" s="601">
        <v>6</v>
      </c>
      <c r="M868" s="463">
        <v>15000</v>
      </c>
      <c r="N868" s="468" t="s">
        <v>5444</v>
      </c>
      <c r="O868" s="466">
        <v>5</v>
      </c>
      <c r="P868" s="523">
        <v>-7.25</v>
      </c>
      <c r="Q868" s="462">
        <v>8.3229166666666683E-4</v>
      </c>
      <c r="R868" s="463">
        <v>375</v>
      </c>
      <c r="S868" s="466"/>
      <c r="T868" s="524"/>
      <c r="W868" s="460"/>
      <c r="AY868" s="486" t="str">
        <f t="shared" si="58"/>
        <v/>
      </c>
      <c r="AZ868" s="487" t="str">
        <f t="shared" si="59"/>
        <v/>
      </c>
      <c r="CH868" s="459"/>
    </row>
    <row r="869" spans="1:86" s="461" customFormat="1" ht="12" customHeight="1" x14ac:dyDescent="0.15">
      <c r="A869" s="522" t="s">
        <v>2228</v>
      </c>
      <c r="B869" s="467">
        <v>42598</v>
      </c>
      <c r="C869" s="468" t="s">
        <v>5312</v>
      </c>
      <c r="D869" s="468" t="s">
        <v>5313</v>
      </c>
      <c r="E869" s="468" t="s">
        <v>4600</v>
      </c>
      <c r="F869" s="468" t="s">
        <v>2377</v>
      </c>
      <c r="G869" s="466">
        <v>4</v>
      </c>
      <c r="H869" s="465">
        <v>5</v>
      </c>
      <c r="I869" s="466" t="s">
        <v>959</v>
      </c>
      <c r="J869" s="466" t="s">
        <v>960</v>
      </c>
      <c r="K869" s="466">
        <v>5</v>
      </c>
      <c r="L869" s="601">
        <v>10</v>
      </c>
      <c r="M869" s="463">
        <v>14100</v>
      </c>
      <c r="N869" s="468" t="s">
        <v>4636</v>
      </c>
      <c r="O869" s="466">
        <v>3</v>
      </c>
      <c r="P869" s="523">
        <v>-13.5</v>
      </c>
      <c r="Q869" s="462">
        <v>7.0057870370370369E-4</v>
      </c>
      <c r="R869" s="463">
        <v>1410</v>
      </c>
      <c r="S869" s="466"/>
      <c r="T869" s="524"/>
      <c r="W869" s="460"/>
      <c r="AY869" s="486" t="str">
        <f t="shared" si="58"/>
        <v/>
      </c>
      <c r="AZ869" s="487" t="str">
        <f t="shared" si="59"/>
        <v/>
      </c>
      <c r="CH869" s="459"/>
    </row>
    <row r="870" spans="1:86" s="469" customFormat="1" ht="12" customHeight="1" x14ac:dyDescent="0.15">
      <c r="A870" s="471" t="s">
        <v>3064</v>
      </c>
      <c r="B870" s="472">
        <v>42599</v>
      </c>
      <c r="C870" s="471" t="s">
        <v>2511</v>
      </c>
      <c r="D870" s="471" t="s">
        <v>5471</v>
      </c>
      <c r="E870" s="471" t="s">
        <v>4337</v>
      </c>
      <c r="F870" s="471" t="s">
        <v>881</v>
      </c>
      <c r="G870" s="473">
        <v>3</v>
      </c>
      <c r="H870" s="474">
        <v>8.3000000000000007</v>
      </c>
      <c r="I870" s="475" t="s">
        <v>3730</v>
      </c>
      <c r="J870" s="475"/>
      <c r="K870" s="473">
        <v>11</v>
      </c>
      <c r="L870" s="458">
        <v>20</v>
      </c>
      <c r="M870" s="476">
        <v>17000</v>
      </c>
      <c r="N870" s="471" t="s">
        <v>5245</v>
      </c>
      <c r="O870" s="637" t="s">
        <v>431</v>
      </c>
      <c r="P870" s="478" t="s">
        <v>431</v>
      </c>
      <c r="Q870" s="479" t="s">
        <v>431</v>
      </c>
      <c r="R870" s="480" t="s">
        <v>431</v>
      </c>
      <c r="S870" s="477"/>
      <c r="T870" s="481" t="s">
        <v>5480</v>
      </c>
      <c r="U870" s="482"/>
      <c r="V870" s="482"/>
      <c r="W870" s="483"/>
      <c r="X870" s="482"/>
      <c r="Y870" s="482"/>
      <c r="Z870" s="482"/>
      <c r="AA870" s="482"/>
      <c r="AB870" s="482"/>
      <c r="AC870" s="482"/>
      <c r="AD870" s="482"/>
      <c r="AE870" s="482"/>
      <c r="AF870" s="482"/>
      <c r="AG870" s="482"/>
      <c r="AH870" s="482"/>
      <c r="AI870" s="482"/>
      <c r="AJ870" s="482"/>
      <c r="AK870" s="482"/>
      <c r="AL870" s="482"/>
      <c r="AM870" s="482"/>
      <c r="AN870" s="482"/>
      <c r="AO870" s="482"/>
      <c r="AP870" s="482"/>
      <c r="AQ870" s="482"/>
      <c r="AR870" s="482"/>
      <c r="AS870" s="482"/>
      <c r="AT870" s="482"/>
      <c r="AU870" s="482"/>
      <c r="AV870" s="482"/>
      <c r="AW870" s="482"/>
      <c r="AX870" s="482"/>
      <c r="AY870" s="486" t="str">
        <f t="shared" si="58"/>
        <v/>
      </c>
      <c r="AZ870" s="487" t="str">
        <f t="shared" si="59"/>
        <v/>
      </c>
      <c r="BA870" s="482"/>
      <c r="BB870" s="482"/>
      <c r="BC870" s="482"/>
      <c r="BD870" s="482"/>
      <c r="BE870" s="482"/>
      <c r="BF870" s="482"/>
      <c r="BG870" s="482"/>
      <c r="BH870" s="482"/>
      <c r="BI870" s="482"/>
      <c r="BJ870" s="482"/>
      <c r="BK870" s="482"/>
      <c r="BL870" s="482"/>
      <c r="BM870" s="482"/>
      <c r="BN870" s="482"/>
      <c r="BO870" s="482"/>
      <c r="BP870" s="482"/>
      <c r="BQ870" s="482"/>
      <c r="BR870" s="482"/>
      <c r="BS870" s="482"/>
      <c r="BT870" s="482"/>
      <c r="BU870" s="482"/>
      <c r="BV870" s="482"/>
      <c r="BW870" s="482"/>
      <c r="BX870" s="482"/>
      <c r="BY870" s="482"/>
      <c r="BZ870" s="482"/>
      <c r="CA870" s="482"/>
      <c r="CB870" s="482"/>
      <c r="CC870" s="482"/>
      <c r="CD870" s="482"/>
      <c r="CE870" s="482"/>
      <c r="CF870" s="482"/>
      <c r="CG870" s="482"/>
      <c r="CH870" s="484"/>
    </row>
    <row r="871" spans="1:86" s="461" customFormat="1" ht="12" customHeight="1" x14ac:dyDescent="0.15">
      <c r="A871" s="522" t="s">
        <v>3174</v>
      </c>
      <c r="B871" s="467">
        <v>42599</v>
      </c>
      <c r="C871" s="468" t="s">
        <v>5386</v>
      </c>
      <c r="D871" s="468" t="s">
        <v>5388</v>
      </c>
      <c r="E871" s="468" t="s">
        <v>5387</v>
      </c>
      <c r="F871" s="468" t="s">
        <v>2376</v>
      </c>
      <c r="G871" s="466">
        <v>2</v>
      </c>
      <c r="H871" s="465">
        <v>8.5</v>
      </c>
      <c r="I871" s="466" t="s">
        <v>3730</v>
      </c>
      <c r="J871" s="466" t="s">
        <v>3770</v>
      </c>
      <c r="K871" s="466">
        <v>8</v>
      </c>
      <c r="L871" s="601">
        <v>30</v>
      </c>
      <c r="M871" s="463">
        <v>33300</v>
      </c>
      <c r="N871" s="468" t="s">
        <v>4636</v>
      </c>
      <c r="O871" s="466">
        <v>8</v>
      </c>
      <c r="P871" s="523">
        <v>-21.5</v>
      </c>
      <c r="Q871" s="462">
        <v>1.2106481481481482E-3</v>
      </c>
      <c r="R871" s="463">
        <v>0</v>
      </c>
      <c r="S871" s="466"/>
      <c r="T871" s="524"/>
      <c r="W871" s="460"/>
      <c r="AY871" s="486" t="str">
        <f t="shared" si="58"/>
        <v/>
      </c>
      <c r="AZ871" s="487" t="str">
        <f t="shared" si="59"/>
        <v/>
      </c>
      <c r="CH871" s="459"/>
    </row>
    <row r="872" spans="1:86" s="461" customFormat="1" ht="12" customHeight="1" x14ac:dyDescent="0.15">
      <c r="A872" s="522" t="s">
        <v>1710</v>
      </c>
      <c r="B872" s="467">
        <v>42600</v>
      </c>
      <c r="C872" s="468" t="s">
        <v>5462</v>
      </c>
      <c r="D872" s="468" t="s">
        <v>5463</v>
      </c>
      <c r="E872" s="468" t="s">
        <v>66</v>
      </c>
      <c r="F872" s="468" t="s">
        <v>2376</v>
      </c>
      <c r="G872" s="466">
        <v>1</v>
      </c>
      <c r="H872" s="465">
        <v>8</v>
      </c>
      <c r="I872" s="466"/>
      <c r="J872" s="466"/>
      <c r="K872" s="466">
        <v>7</v>
      </c>
      <c r="L872" s="601">
        <v>10</v>
      </c>
      <c r="M872" s="463">
        <v>17100</v>
      </c>
      <c r="N872" s="468" t="s">
        <v>4305</v>
      </c>
      <c r="O872" s="466">
        <v>5</v>
      </c>
      <c r="P872" s="523">
        <v>-10.25</v>
      </c>
      <c r="Q872" s="462">
        <v>1.1805555555555556E-3</v>
      </c>
      <c r="R872" s="463">
        <v>513</v>
      </c>
      <c r="S872" s="466"/>
      <c r="T872" s="524"/>
      <c r="W872" s="460"/>
      <c r="AY872" s="486" t="str">
        <f t="shared" si="58"/>
        <v/>
      </c>
      <c r="AZ872" s="487" t="str">
        <f t="shared" si="59"/>
        <v/>
      </c>
      <c r="CH872" s="459"/>
    </row>
    <row r="873" spans="1:86" s="461" customFormat="1" ht="12" customHeight="1" x14ac:dyDescent="0.15">
      <c r="A873" s="522" t="s">
        <v>5340</v>
      </c>
      <c r="B873" s="467">
        <v>42601</v>
      </c>
      <c r="C873" s="468" t="s">
        <v>4429</v>
      </c>
      <c r="D873" s="468" t="s">
        <v>5476</v>
      </c>
      <c r="E873" s="468" t="s">
        <v>3848</v>
      </c>
      <c r="F873" s="468" t="s">
        <v>3686</v>
      </c>
      <c r="G873" s="466">
        <v>1</v>
      </c>
      <c r="H873" s="465">
        <v>8</v>
      </c>
      <c r="I873" s="466"/>
      <c r="J873" s="466"/>
      <c r="K873" s="466">
        <v>8</v>
      </c>
      <c r="L873" s="601">
        <v>6</v>
      </c>
      <c r="M873" s="463">
        <v>9405</v>
      </c>
      <c r="N873" s="468" t="s">
        <v>3653</v>
      </c>
      <c r="O873" s="466">
        <v>3</v>
      </c>
      <c r="P873" s="523">
        <v>-5.75</v>
      </c>
      <c r="Q873" s="462">
        <v>1.1490740740740741E-3</v>
      </c>
      <c r="R873" s="463">
        <v>1234</v>
      </c>
      <c r="S873" s="466" t="s">
        <v>625</v>
      </c>
      <c r="T873" s="639"/>
      <c r="W873" s="460"/>
      <c r="AY873" s="486">
        <f t="shared" si="58"/>
        <v>1234</v>
      </c>
      <c r="AZ873" s="487" t="str">
        <f t="shared" si="59"/>
        <v/>
      </c>
      <c r="CH873" s="459"/>
    </row>
    <row r="874" spans="1:86" s="461" customFormat="1" ht="12" customHeight="1" x14ac:dyDescent="0.15">
      <c r="A874" s="522" t="s">
        <v>2218</v>
      </c>
      <c r="B874" s="467">
        <v>42601</v>
      </c>
      <c r="C874" s="468" t="s">
        <v>4663</v>
      </c>
      <c r="D874" s="468" t="s">
        <v>5470</v>
      </c>
      <c r="E874" s="468" t="s">
        <v>3878</v>
      </c>
      <c r="F874" s="468" t="s">
        <v>788</v>
      </c>
      <c r="G874" s="466">
        <v>5</v>
      </c>
      <c r="H874" s="465">
        <v>5.5</v>
      </c>
      <c r="I874" s="466" t="s">
        <v>3730</v>
      </c>
      <c r="J874" s="466" t="s">
        <v>961</v>
      </c>
      <c r="K874" s="466">
        <v>12</v>
      </c>
      <c r="L874" s="601">
        <v>12</v>
      </c>
      <c r="M874" s="463">
        <v>22000</v>
      </c>
      <c r="N874" s="468" t="s">
        <v>4754</v>
      </c>
      <c r="O874" s="466">
        <v>12</v>
      </c>
      <c r="P874" s="523">
        <v>-19.5</v>
      </c>
      <c r="Q874" s="462">
        <v>7.5405092592592592E-4</v>
      </c>
      <c r="R874" s="463">
        <v>0</v>
      </c>
      <c r="S874" s="466"/>
      <c r="T874" s="524"/>
      <c r="W874" s="460"/>
      <c r="AY874" s="486" t="str">
        <f t="shared" si="58"/>
        <v/>
      </c>
      <c r="AZ874" s="487" t="str">
        <f t="shared" si="59"/>
        <v/>
      </c>
      <c r="CH874" s="459"/>
    </row>
    <row r="875" spans="1:86" s="461" customFormat="1" ht="12" customHeight="1" x14ac:dyDescent="0.15">
      <c r="A875" s="522" t="s">
        <v>3629</v>
      </c>
      <c r="B875" s="467">
        <v>42601</v>
      </c>
      <c r="C875" s="468" t="s">
        <v>3704</v>
      </c>
      <c r="D875" s="468" t="s">
        <v>3705</v>
      </c>
      <c r="E875" s="468" t="s">
        <v>3967</v>
      </c>
      <c r="F875" s="468" t="s">
        <v>788</v>
      </c>
      <c r="G875" s="466">
        <v>6</v>
      </c>
      <c r="H875" s="465">
        <v>5.5</v>
      </c>
      <c r="I875" s="466"/>
      <c r="J875" s="466"/>
      <c r="K875" s="466">
        <v>8</v>
      </c>
      <c r="L875" s="601">
        <v>5</v>
      </c>
      <c r="M875" s="463">
        <v>33000</v>
      </c>
      <c r="N875" s="468" t="s">
        <v>5219</v>
      </c>
      <c r="O875" s="466">
        <v>5</v>
      </c>
      <c r="P875" s="523">
        <v>-7.25</v>
      </c>
      <c r="Q875" s="462">
        <v>7.7453703703703701E-4</v>
      </c>
      <c r="R875" s="463">
        <v>990</v>
      </c>
      <c r="S875" s="466"/>
      <c r="T875" s="524"/>
      <c r="W875" s="460"/>
      <c r="AY875" s="486" t="str">
        <f t="shared" si="58"/>
        <v/>
      </c>
      <c r="AZ875" s="487" t="str">
        <f t="shared" si="59"/>
        <v/>
      </c>
      <c r="CH875" s="459"/>
    </row>
    <row r="876" spans="1:86" s="461" customFormat="1" ht="12" customHeight="1" x14ac:dyDescent="0.15">
      <c r="A876" s="522" t="s">
        <v>3327</v>
      </c>
      <c r="B876" s="467">
        <v>42601</v>
      </c>
      <c r="C876" s="468" t="s">
        <v>3330</v>
      </c>
      <c r="D876" s="468" t="s">
        <v>3497</v>
      </c>
      <c r="E876" s="468" t="s">
        <v>5521</v>
      </c>
      <c r="F876" s="468" t="s">
        <v>3686</v>
      </c>
      <c r="G876" s="466">
        <v>7</v>
      </c>
      <c r="H876" s="465">
        <v>5</v>
      </c>
      <c r="I876" s="466"/>
      <c r="J876" s="466"/>
      <c r="K876" s="466">
        <v>11</v>
      </c>
      <c r="L876" s="601">
        <v>6</v>
      </c>
      <c r="M876" s="463">
        <v>4821</v>
      </c>
      <c r="N876" s="468" t="s">
        <v>5422</v>
      </c>
      <c r="O876" s="466">
        <v>2</v>
      </c>
      <c r="P876" s="523">
        <v>-1.25</v>
      </c>
      <c r="Q876" s="462">
        <v>7.83449074074074E-4</v>
      </c>
      <c r="R876" s="463">
        <v>1022</v>
      </c>
      <c r="S876" s="466" t="s">
        <v>625</v>
      </c>
      <c r="T876" s="639"/>
      <c r="W876" s="460"/>
      <c r="AY876" s="486">
        <f t="shared" si="58"/>
        <v>1022</v>
      </c>
      <c r="AZ876" s="487" t="str">
        <f t="shared" si="59"/>
        <v/>
      </c>
      <c r="CH876" s="459"/>
    </row>
    <row r="877" spans="1:86" s="461" customFormat="1" ht="12" customHeight="1" x14ac:dyDescent="0.15">
      <c r="A877" s="522" t="s">
        <v>3176</v>
      </c>
      <c r="B877" s="467">
        <v>42601</v>
      </c>
      <c r="C877" s="468" t="s">
        <v>5199</v>
      </c>
      <c r="D877" s="468" t="s">
        <v>3702</v>
      </c>
      <c r="E877" s="468" t="s">
        <v>4949</v>
      </c>
      <c r="F877" s="468" t="s">
        <v>2376</v>
      </c>
      <c r="G877" s="466">
        <v>6</v>
      </c>
      <c r="H877" s="465">
        <v>6</v>
      </c>
      <c r="I877" s="466"/>
      <c r="J877" s="466"/>
      <c r="K877" s="466">
        <v>10</v>
      </c>
      <c r="L877" s="601">
        <v>12</v>
      </c>
      <c r="M877" s="463">
        <v>33300</v>
      </c>
      <c r="N877" s="468" t="s">
        <v>4211</v>
      </c>
      <c r="O877" s="466">
        <v>8</v>
      </c>
      <c r="P877" s="523">
        <v>-16.5</v>
      </c>
      <c r="Q877" s="462">
        <v>8.4722222222222219E-4</v>
      </c>
      <c r="R877" s="463">
        <v>0</v>
      </c>
      <c r="S877" s="466"/>
      <c r="T877" s="524"/>
      <c r="W877" s="460"/>
      <c r="AY877" s="486" t="str">
        <f t="shared" si="58"/>
        <v/>
      </c>
      <c r="AZ877" s="487" t="str">
        <f t="shared" si="59"/>
        <v/>
      </c>
      <c r="CH877" s="459"/>
    </row>
    <row r="878" spans="1:86" s="461" customFormat="1" ht="12" customHeight="1" x14ac:dyDescent="0.15">
      <c r="A878" s="522" t="s">
        <v>2355</v>
      </c>
      <c r="B878" s="467">
        <v>42602</v>
      </c>
      <c r="C878" s="468" t="s">
        <v>5482</v>
      </c>
      <c r="D878" s="468" t="s">
        <v>1623</v>
      </c>
      <c r="E878" s="468" t="s">
        <v>5483</v>
      </c>
      <c r="F878" s="468" t="s">
        <v>3300</v>
      </c>
      <c r="G878" s="466">
        <v>7</v>
      </c>
      <c r="H878" s="465">
        <v>5</v>
      </c>
      <c r="I878" s="466" t="s">
        <v>3730</v>
      </c>
      <c r="J878" s="466"/>
      <c r="K878" s="466">
        <v>10</v>
      </c>
      <c r="L878" s="601">
        <v>6</v>
      </c>
      <c r="M878" s="463">
        <v>40000</v>
      </c>
      <c r="N878" s="468" t="s">
        <v>5484</v>
      </c>
      <c r="O878" s="466">
        <v>2</v>
      </c>
      <c r="P878" s="523">
        <v>-1.25</v>
      </c>
      <c r="Q878" s="462">
        <v>6.4456018518518519E-4</v>
      </c>
      <c r="R878" s="463">
        <v>8000</v>
      </c>
      <c r="S878" s="466"/>
      <c r="T878" s="524"/>
      <c r="W878" s="460"/>
      <c r="AY878" s="486" t="str">
        <f t="shared" si="58"/>
        <v/>
      </c>
      <c r="AZ878" s="487" t="str">
        <f t="shared" si="59"/>
        <v/>
      </c>
      <c r="CH878" s="459"/>
    </row>
    <row r="879" spans="1:86" s="469" customFormat="1" ht="12" customHeight="1" x14ac:dyDescent="0.15">
      <c r="A879" s="471" t="s">
        <v>5488</v>
      </c>
      <c r="B879" s="472">
        <v>42602</v>
      </c>
      <c r="C879" s="471" t="s">
        <v>5228</v>
      </c>
      <c r="D879" s="471" t="s">
        <v>5227</v>
      </c>
      <c r="E879" s="471" t="s">
        <v>3188</v>
      </c>
      <c r="F879" s="471" t="s">
        <v>3686</v>
      </c>
      <c r="G879" s="473">
        <v>6</v>
      </c>
      <c r="H879" s="474">
        <v>6.5</v>
      </c>
      <c r="I879" s="475"/>
      <c r="J879" s="475"/>
      <c r="K879" s="473">
        <v>10</v>
      </c>
      <c r="L879" s="458">
        <v>3</v>
      </c>
      <c r="M879" s="476">
        <v>7864</v>
      </c>
      <c r="N879" s="471" t="s">
        <v>3653</v>
      </c>
      <c r="O879" s="637" t="s">
        <v>431</v>
      </c>
      <c r="P879" s="478" t="s">
        <v>431</v>
      </c>
      <c r="Q879" s="479" t="s">
        <v>431</v>
      </c>
      <c r="R879" s="480" t="s">
        <v>431</v>
      </c>
      <c r="S879" s="477" t="s">
        <v>625</v>
      </c>
      <c r="T879" s="481" t="s">
        <v>4304</v>
      </c>
      <c r="U879" s="482"/>
      <c r="V879" s="482"/>
      <c r="W879" s="483"/>
      <c r="X879" s="482"/>
      <c r="Y879" s="482"/>
      <c r="Z879" s="482"/>
      <c r="AA879" s="482"/>
      <c r="AB879" s="482"/>
      <c r="AC879" s="482"/>
      <c r="AD879" s="482"/>
      <c r="AE879" s="482"/>
      <c r="AF879" s="482"/>
      <c r="AG879" s="482"/>
      <c r="AH879" s="482"/>
      <c r="AI879" s="482"/>
      <c r="AJ879" s="482"/>
      <c r="AK879" s="482"/>
      <c r="AL879" s="482"/>
      <c r="AM879" s="482"/>
      <c r="AN879" s="482"/>
      <c r="AO879" s="482"/>
      <c r="AP879" s="482"/>
      <c r="AQ879" s="482"/>
      <c r="AR879" s="482"/>
      <c r="AS879" s="482"/>
      <c r="AT879" s="482"/>
      <c r="AU879" s="482"/>
      <c r="AV879" s="482"/>
      <c r="AW879" s="482"/>
      <c r="AX879" s="482"/>
      <c r="AY879" s="486" t="str">
        <f t="shared" si="58"/>
        <v>--</v>
      </c>
      <c r="AZ879" s="487" t="str">
        <f t="shared" si="59"/>
        <v/>
      </c>
      <c r="BA879" s="482"/>
      <c r="BB879" s="482"/>
      <c r="BC879" s="482"/>
      <c r="BD879" s="482"/>
      <c r="BE879" s="482"/>
      <c r="BF879" s="482"/>
      <c r="BG879" s="482"/>
      <c r="BH879" s="482"/>
      <c r="BI879" s="482"/>
      <c r="BJ879" s="482"/>
      <c r="BK879" s="482"/>
      <c r="BL879" s="482"/>
      <c r="BM879" s="482"/>
      <c r="BN879" s="482"/>
      <c r="BO879" s="482"/>
      <c r="BP879" s="482"/>
      <c r="BQ879" s="482"/>
      <c r="BR879" s="482"/>
      <c r="BS879" s="482"/>
      <c r="BT879" s="482"/>
      <c r="BU879" s="482"/>
      <c r="BV879" s="482"/>
      <c r="BW879" s="482"/>
      <c r="BX879" s="482"/>
      <c r="BY879" s="482"/>
      <c r="BZ879" s="482"/>
      <c r="CA879" s="482"/>
      <c r="CB879" s="482"/>
      <c r="CC879" s="482"/>
      <c r="CD879" s="482"/>
      <c r="CE879" s="482"/>
      <c r="CF879" s="482"/>
      <c r="CG879" s="482"/>
      <c r="CH879" s="484"/>
    </row>
    <row r="880" spans="1:86" s="461" customFormat="1" ht="12" customHeight="1" x14ac:dyDescent="0.15">
      <c r="A880" s="522" t="s">
        <v>4301</v>
      </c>
      <c r="B880" s="467">
        <v>42602</v>
      </c>
      <c r="C880" s="468" t="s">
        <v>2744</v>
      </c>
      <c r="D880" s="468" t="s">
        <v>3832</v>
      </c>
      <c r="E880" s="468" t="s">
        <v>3846</v>
      </c>
      <c r="F880" s="468" t="s">
        <v>3686</v>
      </c>
      <c r="G880" s="466">
        <v>6</v>
      </c>
      <c r="H880" s="465">
        <v>6.5</v>
      </c>
      <c r="I880" s="466"/>
      <c r="J880" s="466"/>
      <c r="K880" s="466">
        <v>10</v>
      </c>
      <c r="L880" s="525">
        <f>7/2</f>
        <v>3.5</v>
      </c>
      <c r="M880" s="463">
        <v>7864</v>
      </c>
      <c r="N880" s="468" t="s">
        <v>3653</v>
      </c>
      <c r="O880" s="466">
        <v>7</v>
      </c>
      <c r="P880" s="523">
        <v>-7</v>
      </c>
      <c r="Q880" s="462">
        <v>9.2013888888888885E-4</v>
      </c>
      <c r="R880" s="463">
        <v>99</v>
      </c>
      <c r="S880" s="466" t="s">
        <v>625</v>
      </c>
      <c r="T880" s="639" t="s">
        <v>3755</v>
      </c>
      <c r="W880" s="460"/>
      <c r="AY880" s="486">
        <f t="shared" si="58"/>
        <v>99</v>
      </c>
      <c r="AZ880" s="487" t="str">
        <f t="shared" si="59"/>
        <v/>
      </c>
      <c r="CH880" s="459"/>
    </row>
    <row r="881" spans="1:90" s="461" customFormat="1" ht="12" customHeight="1" x14ac:dyDescent="0.15">
      <c r="A881" s="522" t="s">
        <v>3328</v>
      </c>
      <c r="B881" s="467">
        <v>42602</v>
      </c>
      <c r="C881" s="468" t="s">
        <v>5477</v>
      </c>
      <c r="D881" s="468" t="s">
        <v>5478</v>
      </c>
      <c r="E881" s="468" t="s">
        <v>4901</v>
      </c>
      <c r="F881" s="468" t="s">
        <v>3686</v>
      </c>
      <c r="G881" s="466">
        <v>10</v>
      </c>
      <c r="H881" s="465">
        <v>5.5</v>
      </c>
      <c r="I881" s="466"/>
      <c r="J881" s="466"/>
      <c r="K881" s="466">
        <v>11</v>
      </c>
      <c r="L881" s="525">
        <v>15</v>
      </c>
      <c r="M881" s="463">
        <v>5993</v>
      </c>
      <c r="N881" s="468" t="s">
        <v>3739</v>
      </c>
      <c r="O881" s="466">
        <v>5</v>
      </c>
      <c r="P881" s="523">
        <v>-5.75</v>
      </c>
      <c r="Q881" s="462">
        <v>7.637731481481483E-4</v>
      </c>
      <c r="R881" s="463">
        <v>99</v>
      </c>
      <c r="S881" s="466" t="s">
        <v>625</v>
      </c>
      <c r="T881" s="639"/>
      <c r="W881" s="460"/>
      <c r="AY881" s="486">
        <f t="shared" si="58"/>
        <v>99</v>
      </c>
      <c r="AZ881" s="487" t="str">
        <f t="shared" si="59"/>
        <v/>
      </c>
      <c r="CH881" s="459"/>
    </row>
    <row r="882" spans="1:90" s="461" customFormat="1" ht="12" customHeight="1" x14ac:dyDescent="0.15">
      <c r="A882" s="522" t="s">
        <v>4656</v>
      </c>
      <c r="B882" s="467">
        <v>42602</v>
      </c>
      <c r="C882" s="468" t="s">
        <v>5421</v>
      </c>
      <c r="D882" s="468" t="s">
        <v>3192</v>
      </c>
      <c r="E882" s="468" t="s">
        <v>5315</v>
      </c>
      <c r="F882" s="468" t="s">
        <v>3686</v>
      </c>
      <c r="G882" s="466">
        <v>10</v>
      </c>
      <c r="H882" s="465">
        <v>5.5</v>
      </c>
      <c r="I882" s="466"/>
      <c r="J882" s="466"/>
      <c r="K882" s="466">
        <v>11</v>
      </c>
      <c r="L882" s="525">
        <v>8</v>
      </c>
      <c r="M882" s="463">
        <v>5993</v>
      </c>
      <c r="N882" s="468" t="s">
        <v>3739</v>
      </c>
      <c r="O882" s="466">
        <v>8</v>
      </c>
      <c r="P882" s="523">
        <v>-7.75</v>
      </c>
      <c r="Q882" s="462">
        <v>7.637731481481483E-4</v>
      </c>
      <c r="R882" s="463">
        <v>99</v>
      </c>
      <c r="S882" s="466" t="s">
        <v>625</v>
      </c>
      <c r="T882" s="639"/>
      <c r="W882" s="460"/>
      <c r="AY882" s="486">
        <f t="shared" si="58"/>
        <v>99</v>
      </c>
      <c r="AZ882" s="487" t="str">
        <f t="shared" si="59"/>
        <v/>
      </c>
      <c r="CH882" s="459"/>
    </row>
    <row r="883" spans="1:90" s="461" customFormat="1" ht="12" customHeight="1" x14ac:dyDescent="0.15">
      <c r="A883" s="522" t="s">
        <v>3333</v>
      </c>
      <c r="B883" s="467">
        <v>42602</v>
      </c>
      <c r="C883" s="468" t="s">
        <v>4956</v>
      </c>
      <c r="D883" s="468" t="s">
        <v>4957</v>
      </c>
      <c r="E883" s="468" t="s">
        <v>4978</v>
      </c>
      <c r="F883" s="468" t="s">
        <v>5049</v>
      </c>
      <c r="G883" s="466">
        <v>10</v>
      </c>
      <c r="H883" s="465">
        <v>7</v>
      </c>
      <c r="I883" s="466" t="s">
        <v>1360</v>
      </c>
      <c r="J883" s="466"/>
      <c r="K883" s="466">
        <v>9</v>
      </c>
      <c r="L883" s="525">
        <f>7/2</f>
        <v>3.5</v>
      </c>
      <c r="M883" s="463">
        <v>19765</v>
      </c>
      <c r="N883" s="468" t="s">
        <v>4776</v>
      </c>
      <c r="O883" s="466">
        <v>2</v>
      </c>
      <c r="P883" s="555" t="s">
        <v>1202</v>
      </c>
      <c r="Q883" s="462">
        <v>9.7488425925925922E-4</v>
      </c>
      <c r="R883" s="463">
        <v>4740</v>
      </c>
      <c r="S883" s="466"/>
      <c r="T883" s="639" t="s">
        <v>3755</v>
      </c>
      <c r="W883" s="460"/>
      <c r="AY883" s="486" t="str">
        <f t="shared" si="58"/>
        <v/>
      </c>
      <c r="AZ883" s="487" t="str">
        <f t="shared" si="59"/>
        <v/>
      </c>
      <c r="CH883" s="459"/>
    </row>
    <row r="884" spans="1:90" s="461" customFormat="1" ht="12" customHeight="1" x14ac:dyDescent="0.15">
      <c r="A884" s="522" t="s">
        <v>4174</v>
      </c>
      <c r="B884" s="467">
        <v>42602</v>
      </c>
      <c r="C884" s="468" t="s">
        <v>2564</v>
      </c>
      <c r="D884" s="468" t="s">
        <v>5225</v>
      </c>
      <c r="E884" s="468" t="s">
        <v>4243</v>
      </c>
      <c r="F884" s="468" t="s">
        <v>3686</v>
      </c>
      <c r="G884" s="466">
        <v>11</v>
      </c>
      <c r="H884" s="465">
        <v>5</v>
      </c>
      <c r="I884" s="466"/>
      <c r="J884" s="466"/>
      <c r="K884" s="466">
        <v>13</v>
      </c>
      <c r="L884" s="525">
        <v>20</v>
      </c>
      <c r="M884" s="463">
        <v>4821</v>
      </c>
      <c r="N884" s="468" t="s">
        <v>5422</v>
      </c>
      <c r="O884" s="466">
        <v>10</v>
      </c>
      <c r="P884" s="523">
        <v>-16</v>
      </c>
      <c r="Q884" s="462">
        <v>7.7453703703703701E-4</v>
      </c>
      <c r="R884" s="463">
        <v>99</v>
      </c>
      <c r="S884" s="466" t="s">
        <v>625</v>
      </c>
      <c r="T884" s="639"/>
      <c r="W884" s="460"/>
      <c r="AY884" s="486">
        <f t="shared" si="58"/>
        <v>99</v>
      </c>
      <c r="AZ884" s="487" t="str">
        <f t="shared" si="59"/>
        <v/>
      </c>
      <c r="CH884" s="459"/>
    </row>
    <row r="885" spans="1:90" s="469" customFormat="1" ht="12" customHeight="1" x14ac:dyDescent="0.15">
      <c r="A885" s="444" t="s">
        <v>2155</v>
      </c>
      <c r="B885" s="445">
        <v>42602</v>
      </c>
      <c r="C885" s="446" t="s">
        <v>5473</v>
      </c>
      <c r="D885" s="446" t="s">
        <v>4228</v>
      </c>
      <c r="E885" s="446" t="s">
        <v>5522</v>
      </c>
      <c r="F885" s="446" t="s">
        <v>788</v>
      </c>
      <c r="G885" s="447">
        <v>10</v>
      </c>
      <c r="H885" s="448">
        <v>6</v>
      </c>
      <c r="I885" s="447" t="s">
        <v>3730</v>
      </c>
      <c r="J885" s="447"/>
      <c r="K885" s="447">
        <v>9</v>
      </c>
      <c r="L885" s="449">
        <v>30</v>
      </c>
      <c r="M885" s="450">
        <v>75000</v>
      </c>
      <c r="N885" s="446" t="s">
        <v>5475</v>
      </c>
      <c r="O885" s="447">
        <v>1</v>
      </c>
      <c r="P885" s="451">
        <v>2</v>
      </c>
      <c r="Q885" s="452">
        <v>8.1689814814814819E-4</v>
      </c>
      <c r="R885" s="450">
        <v>45000</v>
      </c>
      <c r="S885" s="447"/>
      <c r="T885" s="453" t="s">
        <v>5523</v>
      </c>
      <c r="U885" s="454"/>
      <c r="V885" s="454"/>
      <c r="W885" s="455"/>
      <c r="X885" s="454"/>
      <c r="Y885" s="454"/>
      <c r="Z885" s="454"/>
      <c r="AA885" s="454"/>
      <c r="AB885" s="454"/>
      <c r="AC885" s="454"/>
      <c r="AD885" s="454"/>
      <c r="AE885" s="454"/>
      <c r="AF885" s="454"/>
      <c r="AG885" s="454"/>
      <c r="AH885" s="454"/>
      <c r="AI885" s="454"/>
      <c r="AJ885" s="454"/>
      <c r="AK885" s="454"/>
      <c r="AL885" s="454"/>
      <c r="AM885" s="454"/>
      <c r="AN885" s="454"/>
      <c r="AO885" s="454"/>
      <c r="AP885" s="454"/>
      <c r="AQ885" s="454"/>
      <c r="AR885" s="454"/>
      <c r="AS885" s="454"/>
      <c r="AT885" s="454"/>
      <c r="AU885" s="454"/>
      <c r="AV885" s="454"/>
      <c r="AW885" s="454"/>
      <c r="AX885" s="454"/>
      <c r="AY885" s="486" t="str">
        <f t="shared" si="58"/>
        <v/>
      </c>
      <c r="AZ885" s="487">
        <f t="shared" si="59"/>
        <v>1</v>
      </c>
      <c r="BA885" s="454"/>
      <c r="BB885" s="454"/>
      <c r="BC885" s="454"/>
      <c r="BD885" s="454"/>
      <c r="BE885" s="454"/>
      <c r="BF885" s="454"/>
      <c r="BG885" s="454"/>
      <c r="BH885" s="454"/>
      <c r="BI885" s="454"/>
      <c r="BJ885" s="454"/>
      <c r="BK885" s="454"/>
      <c r="BL885" s="454"/>
      <c r="BM885" s="454"/>
      <c r="BN885" s="454"/>
      <c r="BO885" s="454"/>
      <c r="BP885" s="454"/>
      <c r="BQ885" s="454"/>
      <c r="BR885" s="454"/>
      <c r="BS885" s="454"/>
      <c r="BT885" s="454"/>
      <c r="BU885" s="454"/>
      <c r="BV885" s="454"/>
      <c r="BW885" s="454"/>
      <c r="BX885" s="454"/>
      <c r="BY885" s="454"/>
      <c r="BZ885" s="454"/>
      <c r="CA885" s="454"/>
      <c r="CB885" s="454"/>
      <c r="CC885" s="454"/>
      <c r="CD885" s="454"/>
      <c r="CE885" s="454"/>
      <c r="CF885" s="454"/>
      <c r="CG885" s="454"/>
      <c r="CH885" s="456"/>
      <c r="CI885" s="454"/>
      <c r="CJ885" s="454"/>
      <c r="CK885" s="454"/>
      <c r="CL885" s="454"/>
    </row>
    <row r="886" spans="1:90" s="461" customFormat="1" ht="12" customHeight="1" x14ac:dyDescent="0.15">
      <c r="A886" s="522" t="s">
        <v>3470</v>
      </c>
      <c r="B886" s="467">
        <v>42602</v>
      </c>
      <c r="C886" s="468" t="s">
        <v>5034</v>
      </c>
      <c r="D886" s="468" t="s">
        <v>3472</v>
      </c>
      <c r="E886" s="468" t="s">
        <v>3683</v>
      </c>
      <c r="F886" s="468" t="s">
        <v>3686</v>
      </c>
      <c r="G886" s="466">
        <v>13</v>
      </c>
      <c r="H886" s="465">
        <v>7</v>
      </c>
      <c r="I886" s="466"/>
      <c r="J886" s="466"/>
      <c r="K886" s="466">
        <v>13</v>
      </c>
      <c r="L886" s="525">
        <v>10</v>
      </c>
      <c r="M886" s="463">
        <v>4917</v>
      </c>
      <c r="N886" s="468" t="s">
        <v>5422</v>
      </c>
      <c r="O886" s="466">
        <v>12</v>
      </c>
      <c r="P886" s="523">
        <v>-12.75</v>
      </c>
      <c r="Q886" s="462">
        <v>9.9189814814814822E-4</v>
      </c>
      <c r="R886" s="463">
        <v>99</v>
      </c>
      <c r="S886" s="466" t="s">
        <v>625</v>
      </c>
      <c r="T886" s="639"/>
      <c r="W886" s="460"/>
      <c r="AY886" s="486">
        <f t="shared" ref="AY886:AY922" si="60">IF(S886="","",R886)</f>
        <v>99</v>
      </c>
      <c r="AZ886" s="487" t="str">
        <f t="shared" ref="AZ886:AZ922" si="61">IF(F886="Pleasant Meadows","",IF(L886="","",IF(O886="--","",IF(O886=1,1,""))))</f>
        <v/>
      </c>
      <c r="CH886" s="459"/>
    </row>
    <row r="887" spans="1:90" s="461" customFormat="1" ht="12" customHeight="1" x14ac:dyDescent="0.15">
      <c r="A887" s="522" t="s">
        <v>2176</v>
      </c>
      <c r="B887" s="467">
        <v>42602</v>
      </c>
      <c r="C887" s="468" t="s">
        <v>4594</v>
      </c>
      <c r="D887" s="468" t="s">
        <v>4595</v>
      </c>
      <c r="E887" s="468" t="s">
        <v>3788</v>
      </c>
      <c r="F887" s="468" t="s">
        <v>2376</v>
      </c>
      <c r="G887" s="466">
        <v>7</v>
      </c>
      <c r="H887" s="465">
        <v>6</v>
      </c>
      <c r="I887" s="466"/>
      <c r="J887" s="466"/>
      <c r="K887" s="466">
        <v>9</v>
      </c>
      <c r="L887" s="525">
        <v>5</v>
      </c>
      <c r="M887" s="463">
        <v>11400</v>
      </c>
      <c r="N887" s="468" t="s">
        <v>197</v>
      </c>
      <c r="O887" s="466">
        <v>6</v>
      </c>
      <c r="P887" s="523">
        <v>-12.5</v>
      </c>
      <c r="Q887" s="462">
        <v>8.4907407407407403E-4</v>
      </c>
      <c r="R887" s="463">
        <v>0</v>
      </c>
      <c r="S887" s="466"/>
      <c r="T887" s="639"/>
      <c r="W887" s="460"/>
      <c r="AY887" s="486" t="str">
        <f t="shared" si="60"/>
        <v/>
      </c>
      <c r="AZ887" s="487" t="str">
        <f t="shared" si="61"/>
        <v/>
      </c>
      <c r="CH887" s="459"/>
    </row>
    <row r="888" spans="1:90" s="461" customFormat="1" ht="12" customHeight="1" x14ac:dyDescent="0.15">
      <c r="A888" s="522" t="s">
        <v>3838</v>
      </c>
      <c r="B888" s="467">
        <v>42603</v>
      </c>
      <c r="C888" s="468" t="s">
        <v>3841</v>
      </c>
      <c r="D888" s="468" t="s">
        <v>3837</v>
      </c>
      <c r="E888" s="468" t="s">
        <v>5524</v>
      </c>
      <c r="F888" s="468" t="s">
        <v>3836</v>
      </c>
      <c r="G888" s="466">
        <v>4</v>
      </c>
      <c r="H888" s="465">
        <v>7</v>
      </c>
      <c r="I888" s="466"/>
      <c r="J888" s="466"/>
      <c r="K888" s="466">
        <v>9</v>
      </c>
      <c r="L888" s="525"/>
      <c r="M888" s="463">
        <v>3644</v>
      </c>
      <c r="N888" s="468" t="s">
        <v>3739</v>
      </c>
      <c r="O888" s="466">
        <v>3</v>
      </c>
      <c r="P888" s="523">
        <v>-3.5</v>
      </c>
      <c r="Q888" s="462">
        <v>1.0221064814814815E-3</v>
      </c>
      <c r="R888" s="463">
        <v>30</v>
      </c>
      <c r="S888" s="466" t="s">
        <v>625</v>
      </c>
      <c r="T888" s="639"/>
      <c r="W888" s="460"/>
      <c r="AY888" s="486">
        <f t="shared" si="60"/>
        <v>30</v>
      </c>
      <c r="AZ888" s="487" t="str">
        <f t="shared" si="61"/>
        <v/>
      </c>
      <c r="CH888" s="459"/>
    </row>
    <row r="889" spans="1:90" s="469" customFormat="1" ht="12" customHeight="1" x14ac:dyDescent="0.15">
      <c r="A889" s="471" t="s">
        <v>5121</v>
      </c>
      <c r="B889" s="472">
        <v>42603</v>
      </c>
      <c r="C889" s="471" t="s">
        <v>3370</v>
      </c>
      <c r="D889" s="471" t="s">
        <v>3902</v>
      </c>
      <c r="E889" s="471" t="s">
        <v>1310</v>
      </c>
      <c r="F889" s="471" t="s">
        <v>3685</v>
      </c>
      <c r="G889" s="473">
        <v>4</v>
      </c>
      <c r="H889" s="474">
        <v>7</v>
      </c>
      <c r="I889" s="475"/>
      <c r="J889" s="475"/>
      <c r="K889" s="473">
        <v>11</v>
      </c>
      <c r="L889" s="485" t="s">
        <v>431</v>
      </c>
      <c r="M889" s="476">
        <v>4676</v>
      </c>
      <c r="N889" s="471" t="s">
        <v>3348</v>
      </c>
      <c r="O889" s="637" t="s">
        <v>431</v>
      </c>
      <c r="P889" s="478" t="s">
        <v>431</v>
      </c>
      <c r="Q889" s="479" t="s">
        <v>431</v>
      </c>
      <c r="R889" s="480" t="s">
        <v>431</v>
      </c>
      <c r="S889" s="477" t="s">
        <v>625</v>
      </c>
      <c r="T889" s="481" t="s">
        <v>4448</v>
      </c>
      <c r="U889" s="482"/>
      <c r="V889" s="482"/>
      <c r="W889" s="483"/>
      <c r="X889" s="482"/>
      <c r="Y889" s="482"/>
      <c r="Z889" s="482"/>
      <c r="AA889" s="482"/>
      <c r="AB889" s="482"/>
      <c r="AC889" s="482"/>
      <c r="AD889" s="482"/>
      <c r="AE889" s="482"/>
      <c r="AF889" s="482"/>
      <c r="AG889" s="482"/>
      <c r="AH889" s="482"/>
      <c r="AI889" s="482"/>
      <c r="AJ889" s="482"/>
      <c r="AK889" s="482"/>
      <c r="AL889" s="482"/>
      <c r="AM889" s="482"/>
      <c r="AN889" s="482"/>
      <c r="AO889" s="482"/>
      <c r="AP889" s="482"/>
      <c r="AQ889" s="482"/>
      <c r="AR889" s="482"/>
      <c r="AS889" s="482"/>
      <c r="AT889" s="482"/>
      <c r="AU889" s="482"/>
      <c r="AV889" s="482"/>
      <c r="AW889" s="482"/>
      <c r="AX889" s="482"/>
      <c r="AY889" s="486" t="str">
        <f t="shared" si="60"/>
        <v>--</v>
      </c>
      <c r="AZ889" s="487" t="str">
        <f t="shared" si="61"/>
        <v/>
      </c>
      <c r="BA889" s="482"/>
      <c r="BB889" s="482"/>
      <c r="BC889" s="482"/>
      <c r="BD889" s="482"/>
      <c r="BE889" s="482"/>
      <c r="BF889" s="482"/>
      <c r="BG889" s="482"/>
      <c r="BH889" s="482"/>
      <c r="BI889" s="482"/>
      <c r="BJ889" s="482"/>
      <c r="BK889" s="482"/>
      <c r="BL889" s="482"/>
      <c r="BM889" s="482"/>
      <c r="BN889" s="482"/>
      <c r="BO889" s="482"/>
      <c r="BP889" s="482"/>
      <c r="BQ889" s="482"/>
      <c r="BR889" s="482"/>
      <c r="BS889" s="482"/>
      <c r="BT889" s="482"/>
      <c r="BU889" s="482"/>
      <c r="BV889" s="482"/>
      <c r="BW889" s="482"/>
      <c r="BX889" s="482"/>
      <c r="BY889" s="482"/>
      <c r="BZ889" s="482"/>
      <c r="CA889" s="482"/>
      <c r="CB889" s="482"/>
      <c r="CC889" s="482"/>
      <c r="CD889" s="482"/>
      <c r="CE889" s="482"/>
      <c r="CF889" s="482"/>
      <c r="CG889" s="482"/>
      <c r="CH889" s="484"/>
    </row>
    <row r="890" spans="1:90" s="469" customFormat="1" ht="12" customHeight="1" x14ac:dyDescent="0.15">
      <c r="A890" s="471" t="s">
        <v>5501</v>
      </c>
      <c r="B890" s="472">
        <v>42603</v>
      </c>
      <c r="C890" s="471" t="s">
        <v>4525</v>
      </c>
      <c r="D890" s="471" t="s">
        <v>3485</v>
      </c>
      <c r="E890" s="471" t="s">
        <v>1310</v>
      </c>
      <c r="F890" s="471" t="s">
        <v>3685</v>
      </c>
      <c r="G890" s="473">
        <v>9</v>
      </c>
      <c r="H890" s="474">
        <v>6</v>
      </c>
      <c r="I890" s="475"/>
      <c r="J890" s="475"/>
      <c r="K890" s="473">
        <v>13</v>
      </c>
      <c r="L890" s="458">
        <f>7/2</f>
        <v>3.5</v>
      </c>
      <c r="M890" s="476">
        <v>2892</v>
      </c>
      <c r="N890" s="471" t="s">
        <v>5129</v>
      </c>
      <c r="O890" s="637" t="s">
        <v>431</v>
      </c>
      <c r="P890" s="478" t="s">
        <v>431</v>
      </c>
      <c r="Q890" s="479" t="s">
        <v>431</v>
      </c>
      <c r="R890" s="480" t="s">
        <v>431</v>
      </c>
      <c r="S890" s="477" t="s">
        <v>625</v>
      </c>
      <c r="T890" s="481" t="s">
        <v>5502</v>
      </c>
      <c r="U890" s="482"/>
      <c r="V890" s="482"/>
      <c r="W890" s="483"/>
      <c r="X890" s="482"/>
      <c r="Y890" s="482"/>
      <c r="Z890" s="482"/>
      <c r="AA890" s="482"/>
      <c r="AB890" s="482"/>
      <c r="AC890" s="482"/>
      <c r="AD890" s="482"/>
      <c r="AE890" s="482"/>
      <c r="AF890" s="482"/>
      <c r="AG890" s="482"/>
      <c r="AH890" s="482"/>
      <c r="AI890" s="482"/>
      <c r="AJ890" s="482"/>
      <c r="AK890" s="482"/>
      <c r="AL890" s="482"/>
      <c r="AM890" s="482"/>
      <c r="AN890" s="482"/>
      <c r="AO890" s="482"/>
      <c r="AP890" s="482"/>
      <c r="AQ890" s="482"/>
      <c r="AR890" s="482"/>
      <c r="AS890" s="482"/>
      <c r="AT890" s="482"/>
      <c r="AU890" s="482"/>
      <c r="AV890" s="482"/>
      <c r="AW890" s="482"/>
      <c r="AX890" s="482"/>
      <c r="AY890" s="486" t="str">
        <f t="shared" si="60"/>
        <v>--</v>
      </c>
      <c r="AZ890" s="487" t="str">
        <f t="shared" si="61"/>
        <v/>
      </c>
      <c r="BA890" s="482"/>
      <c r="BB890" s="482"/>
      <c r="BC890" s="482"/>
      <c r="BD890" s="482"/>
      <c r="BE890" s="482"/>
      <c r="BF890" s="482"/>
      <c r="BG890" s="482"/>
      <c r="BH890" s="482"/>
      <c r="BI890" s="482"/>
      <c r="BJ890" s="482"/>
      <c r="BK890" s="482"/>
      <c r="BL890" s="482"/>
      <c r="BM890" s="482"/>
      <c r="BN890" s="482"/>
      <c r="BO890" s="482"/>
      <c r="BP890" s="482"/>
      <c r="BQ890" s="482"/>
      <c r="BR890" s="482"/>
      <c r="BS890" s="482"/>
      <c r="BT890" s="482"/>
      <c r="BU890" s="482"/>
      <c r="BV890" s="482"/>
      <c r="BW890" s="482"/>
      <c r="BX890" s="482"/>
      <c r="BY890" s="482"/>
      <c r="BZ890" s="482"/>
      <c r="CA890" s="482"/>
      <c r="CB890" s="482"/>
      <c r="CC890" s="482"/>
      <c r="CD890" s="482"/>
      <c r="CE890" s="482"/>
      <c r="CF890" s="482"/>
      <c r="CG890" s="482"/>
      <c r="CH890" s="484"/>
    </row>
    <row r="891" spans="1:90" s="469" customFormat="1" ht="12" customHeight="1" x14ac:dyDescent="0.15">
      <c r="A891" s="471" t="s">
        <v>2484</v>
      </c>
      <c r="B891" s="472">
        <v>42603</v>
      </c>
      <c r="C891" s="471" t="s">
        <v>5220</v>
      </c>
      <c r="D891" s="471" t="s">
        <v>5217</v>
      </c>
      <c r="E891" s="471" t="s">
        <v>4979</v>
      </c>
      <c r="F891" s="471" t="s">
        <v>788</v>
      </c>
      <c r="G891" s="473">
        <v>7</v>
      </c>
      <c r="H891" s="474">
        <v>5</v>
      </c>
      <c r="I891" s="475"/>
      <c r="J891" s="475"/>
      <c r="K891" s="473">
        <v>10</v>
      </c>
      <c r="L891" s="458">
        <f>9/2</f>
        <v>4.5</v>
      </c>
      <c r="M891" s="476">
        <v>27000</v>
      </c>
      <c r="N891" s="471" t="s">
        <v>5481</v>
      </c>
      <c r="O891" s="477" t="s">
        <v>431</v>
      </c>
      <c r="P891" s="478" t="s">
        <v>431</v>
      </c>
      <c r="Q891" s="479" t="s">
        <v>431</v>
      </c>
      <c r="R891" s="480" t="s">
        <v>431</v>
      </c>
      <c r="S891" s="477"/>
      <c r="T891" s="481" t="s">
        <v>3885</v>
      </c>
      <c r="U891" s="482"/>
      <c r="V891" s="482"/>
      <c r="W891" s="483"/>
      <c r="X891" s="482"/>
      <c r="Y891" s="482"/>
      <c r="Z891" s="482"/>
      <c r="AA891" s="482"/>
      <c r="AB891" s="482"/>
      <c r="AC891" s="482"/>
      <c r="AD891" s="482"/>
      <c r="AE891" s="482"/>
      <c r="AF891" s="482"/>
      <c r="AG891" s="482"/>
      <c r="AH891" s="482"/>
      <c r="AI891" s="482"/>
      <c r="AJ891" s="482"/>
      <c r="AK891" s="482"/>
      <c r="AL891" s="482"/>
      <c r="AM891" s="482"/>
      <c r="AN891" s="482"/>
      <c r="AO891" s="482"/>
      <c r="AP891" s="482"/>
      <c r="AQ891" s="482"/>
      <c r="AR891" s="482"/>
      <c r="AS891" s="482"/>
      <c r="AT891" s="482"/>
      <c r="AU891" s="482"/>
      <c r="AV891" s="482"/>
      <c r="AW891" s="482"/>
      <c r="AX891" s="482"/>
      <c r="AY891" s="486" t="str">
        <f t="shared" si="60"/>
        <v/>
      </c>
      <c r="AZ891" s="487" t="str">
        <f t="shared" si="61"/>
        <v/>
      </c>
      <c r="BA891" s="482"/>
      <c r="BB891" s="482"/>
      <c r="BC891" s="482"/>
      <c r="BD891" s="482"/>
      <c r="BE891" s="482"/>
      <c r="BF891" s="482"/>
      <c r="BG891" s="482"/>
      <c r="BH891" s="482"/>
      <c r="BI891" s="482"/>
      <c r="BJ891" s="482"/>
      <c r="BK891" s="482"/>
      <c r="BL891" s="482"/>
      <c r="BM891" s="482"/>
      <c r="BN891" s="482"/>
      <c r="BO891" s="482"/>
      <c r="BP891" s="482"/>
      <c r="BQ891" s="482"/>
      <c r="BR891" s="482"/>
      <c r="BS891" s="482"/>
      <c r="BT891" s="482"/>
      <c r="BU891" s="482"/>
      <c r="BV891" s="482"/>
      <c r="BW891" s="482"/>
      <c r="BX891" s="482"/>
      <c r="BY891" s="482"/>
      <c r="BZ891" s="482"/>
      <c r="CA891" s="482"/>
      <c r="CB891" s="482"/>
      <c r="CC891" s="482"/>
      <c r="CD891" s="482"/>
      <c r="CE891" s="482"/>
      <c r="CF891" s="482"/>
      <c r="CG891" s="482"/>
      <c r="CH891" s="484"/>
    </row>
    <row r="892" spans="1:90" s="469" customFormat="1" ht="12" customHeight="1" x14ac:dyDescent="0.15">
      <c r="A892" s="471" t="s">
        <v>3099</v>
      </c>
      <c r="B892" s="472">
        <v>42603</v>
      </c>
      <c r="C892" s="471" t="s">
        <v>3293</v>
      </c>
      <c r="D892" s="471" t="s">
        <v>5218</v>
      </c>
      <c r="E892" s="471" t="s">
        <v>4337</v>
      </c>
      <c r="F892" s="471" t="s">
        <v>788</v>
      </c>
      <c r="G892" s="473">
        <v>7</v>
      </c>
      <c r="H892" s="474">
        <v>5</v>
      </c>
      <c r="I892" s="475"/>
      <c r="J892" s="475"/>
      <c r="K892" s="473">
        <v>10</v>
      </c>
      <c r="L892" s="458">
        <v>4</v>
      </c>
      <c r="M892" s="476">
        <v>27000</v>
      </c>
      <c r="N892" s="471" t="s">
        <v>5481</v>
      </c>
      <c r="O892" s="477" t="s">
        <v>431</v>
      </c>
      <c r="P892" s="478" t="s">
        <v>431</v>
      </c>
      <c r="Q892" s="479" t="s">
        <v>431</v>
      </c>
      <c r="R892" s="480" t="s">
        <v>431</v>
      </c>
      <c r="S892" s="477"/>
      <c r="T892" s="481" t="s">
        <v>3885</v>
      </c>
      <c r="U892" s="482"/>
      <c r="V892" s="482"/>
      <c r="W892" s="483"/>
      <c r="X892" s="482"/>
      <c r="Y892" s="482"/>
      <c r="Z892" s="482"/>
      <c r="AA892" s="482"/>
      <c r="AB892" s="482"/>
      <c r="AC892" s="482"/>
      <c r="AD892" s="482"/>
      <c r="AE892" s="482"/>
      <c r="AF892" s="482"/>
      <c r="AG892" s="482"/>
      <c r="AH892" s="482"/>
      <c r="AI892" s="482"/>
      <c r="AJ892" s="482"/>
      <c r="AK892" s="482"/>
      <c r="AL892" s="482"/>
      <c r="AM892" s="482"/>
      <c r="AN892" s="482"/>
      <c r="AO892" s="482"/>
      <c r="AP892" s="482"/>
      <c r="AQ892" s="482"/>
      <c r="AR892" s="482"/>
      <c r="AS892" s="482"/>
      <c r="AT892" s="482"/>
      <c r="AU892" s="482"/>
      <c r="AV892" s="482"/>
      <c r="AW892" s="482"/>
      <c r="AX892" s="482"/>
      <c r="AY892" s="486" t="str">
        <f t="shared" si="60"/>
        <v/>
      </c>
      <c r="AZ892" s="487" t="str">
        <f t="shared" si="61"/>
        <v/>
      </c>
      <c r="BA892" s="482"/>
      <c r="BB892" s="482"/>
      <c r="BC892" s="482"/>
      <c r="BD892" s="482"/>
      <c r="BE892" s="482"/>
      <c r="BF892" s="482"/>
      <c r="BG892" s="482"/>
      <c r="BH892" s="482"/>
      <c r="BI892" s="482"/>
      <c r="BJ892" s="482"/>
      <c r="BK892" s="482"/>
      <c r="BL892" s="482"/>
      <c r="BM892" s="482"/>
      <c r="BN892" s="482"/>
      <c r="BO892" s="482"/>
      <c r="BP892" s="482"/>
      <c r="BQ892" s="482"/>
      <c r="BR892" s="482"/>
      <c r="BS892" s="482"/>
      <c r="BT892" s="482"/>
      <c r="BU892" s="482"/>
      <c r="BV892" s="482"/>
      <c r="BW892" s="482"/>
      <c r="BX892" s="482"/>
      <c r="BY892" s="482"/>
      <c r="BZ892" s="482"/>
      <c r="CA892" s="482"/>
      <c r="CB892" s="482"/>
      <c r="CC892" s="482"/>
      <c r="CD892" s="482"/>
      <c r="CE892" s="482"/>
      <c r="CF892" s="482"/>
      <c r="CG892" s="482"/>
      <c r="CH892" s="484"/>
    </row>
    <row r="893" spans="1:90" s="469" customFormat="1" ht="12" customHeight="1" x14ac:dyDescent="0.15">
      <c r="A893" s="471" t="s">
        <v>2155</v>
      </c>
      <c r="B893" s="472">
        <v>42603</v>
      </c>
      <c r="C893" s="471" t="s">
        <v>5473</v>
      </c>
      <c r="D893" s="471" t="s">
        <v>4228</v>
      </c>
      <c r="E893" s="471" t="s">
        <v>4600</v>
      </c>
      <c r="F893" s="471" t="s">
        <v>788</v>
      </c>
      <c r="G893" s="473">
        <v>8</v>
      </c>
      <c r="H893" s="474">
        <v>8.5</v>
      </c>
      <c r="I893" s="475" t="s">
        <v>3730</v>
      </c>
      <c r="J893" s="475"/>
      <c r="K893" s="473">
        <v>14</v>
      </c>
      <c r="L893" s="458">
        <v>10</v>
      </c>
      <c r="M893" s="476">
        <v>45000</v>
      </c>
      <c r="N893" s="471" t="s">
        <v>4635</v>
      </c>
      <c r="O893" s="477" t="s">
        <v>431</v>
      </c>
      <c r="P893" s="478" t="s">
        <v>431</v>
      </c>
      <c r="Q893" s="479" t="s">
        <v>431</v>
      </c>
      <c r="R893" s="480" t="s">
        <v>431</v>
      </c>
      <c r="S893" s="477"/>
      <c r="T893" s="481" t="s">
        <v>5487</v>
      </c>
      <c r="U893" s="482"/>
      <c r="V893" s="482"/>
      <c r="W893" s="483"/>
      <c r="X893" s="482"/>
      <c r="Y893" s="482"/>
      <c r="Z893" s="482"/>
      <c r="AA893" s="482"/>
      <c r="AB893" s="482"/>
      <c r="AC893" s="482"/>
      <c r="AD893" s="482"/>
      <c r="AE893" s="482"/>
      <c r="AF893" s="482"/>
      <c r="AG893" s="482"/>
      <c r="AH893" s="482"/>
      <c r="AI893" s="482"/>
      <c r="AJ893" s="482"/>
      <c r="AK893" s="482"/>
      <c r="AL893" s="482"/>
      <c r="AM893" s="482"/>
      <c r="AN893" s="482"/>
      <c r="AO893" s="482"/>
      <c r="AP893" s="482"/>
      <c r="AQ893" s="482"/>
      <c r="AR893" s="482"/>
      <c r="AS893" s="482"/>
      <c r="AT893" s="482"/>
      <c r="AU893" s="482"/>
      <c r="AV893" s="482"/>
      <c r="AW893" s="482"/>
      <c r="AX893" s="482"/>
      <c r="AY893" s="486" t="str">
        <f t="shared" si="60"/>
        <v/>
      </c>
      <c r="AZ893" s="487" t="str">
        <f t="shared" si="61"/>
        <v/>
      </c>
      <c r="BA893" s="482"/>
      <c r="BB893" s="482"/>
      <c r="BC893" s="482"/>
      <c r="BD893" s="482"/>
      <c r="BE893" s="482"/>
      <c r="BF893" s="482"/>
      <c r="BG893" s="482"/>
      <c r="BH893" s="482"/>
      <c r="BI893" s="482"/>
      <c r="BJ893" s="482"/>
      <c r="BK893" s="482"/>
      <c r="BL893" s="482"/>
      <c r="BM893" s="482"/>
      <c r="BN893" s="482"/>
      <c r="BO893" s="482"/>
      <c r="BP893" s="482"/>
      <c r="BQ893" s="482"/>
      <c r="BR893" s="482"/>
      <c r="BS893" s="482"/>
      <c r="BT893" s="482"/>
      <c r="BU893" s="482"/>
      <c r="BV893" s="482"/>
      <c r="BW893" s="482"/>
      <c r="BX893" s="482"/>
      <c r="BY893" s="482"/>
      <c r="BZ893" s="482"/>
      <c r="CA893" s="482"/>
      <c r="CB893" s="482"/>
      <c r="CC893" s="482"/>
      <c r="CD893" s="482"/>
      <c r="CE893" s="482"/>
      <c r="CF893" s="482"/>
      <c r="CG893" s="482"/>
      <c r="CH893" s="484"/>
    </row>
    <row r="894" spans="1:90" s="461" customFormat="1" ht="12" customHeight="1" x14ac:dyDescent="0.15">
      <c r="A894" s="522" t="s">
        <v>3645</v>
      </c>
      <c r="B894" s="467">
        <v>42603</v>
      </c>
      <c r="C894" s="468" t="s">
        <v>5044</v>
      </c>
      <c r="D894" s="468" t="s">
        <v>5045</v>
      </c>
      <c r="E894" s="468" t="s">
        <v>5336</v>
      </c>
      <c r="F894" s="468" t="s">
        <v>4828</v>
      </c>
      <c r="G894" s="466">
        <v>8</v>
      </c>
      <c r="H894" s="465">
        <v>6</v>
      </c>
      <c r="I894" s="466" t="s">
        <v>1360</v>
      </c>
      <c r="J894" s="466"/>
      <c r="K894" s="466">
        <v>10</v>
      </c>
      <c r="L894" s="601">
        <v>10</v>
      </c>
      <c r="M894" s="463">
        <v>10000</v>
      </c>
      <c r="N894" s="468" t="s">
        <v>5190</v>
      </c>
      <c r="O894" s="466">
        <v>7</v>
      </c>
      <c r="P894" s="523">
        <v>-7.25</v>
      </c>
      <c r="Q894" s="462">
        <v>8.2581018518518518E-4</v>
      </c>
      <c r="R894" s="463">
        <v>200</v>
      </c>
      <c r="S894" s="466"/>
      <c r="T894" s="524"/>
      <c r="W894" s="460"/>
      <c r="AY894" s="486" t="str">
        <f t="shared" si="60"/>
        <v/>
      </c>
      <c r="AZ894" s="487" t="str">
        <f t="shared" si="61"/>
        <v/>
      </c>
      <c r="CH894" s="459"/>
    </row>
    <row r="895" spans="1:90" s="469" customFormat="1" ht="12" customHeight="1" x14ac:dyDescent="0.15">
      <c r="A895" s="471" t="s">
        <v>1666</v>
      </c>
      <c r="B895" s="472">
        <v>42604</v>
      </c>
      <c r="C895" s="471" t="s">
        <v>4846</v>
      </c>
      <c r="D895" s="471" t="s">
        <v>4826</v>
      </c>
      <c r="E895" s="471" t="s">
        <v>3188</v>
      </c>
      <c r="F895" s="471" t="s">
        <v>1164</v>
      </c>
      <c r="G895" s="473" t="s">
        <v>3188</v>
      </c>
      <c r="H895" s="474">
        <v>8.5</v>
      </c>
      <c r="I895" s="475"/>
      <c r="J895" s="475"/>
      <c r="K895" s="473" t="s">
        <v>3188</v>
      </c>
      <c r="L895" s="485" t="s">
        <v>431</v>
      </c>
      <c r="M895" s="476">
        <v>50000</v>
      </c>
      <c r="N895" s="471" t="s">
        <v>5486</v>
      </c>
      <c r="O895" s="637" t="s">
        <v>431</v>
      </c>
      <c r="P895" s="478" t="s">
        <v>431</v>
      </c>
      <c r="Q895" s="479" t="s">
        <v>431</v>
      </c>
      <c r="R895" s="480" t="s">
        <v>431</v>
      </c>
      <c r="S895" s="477"/>
      <c r="T895" s="481" t="s">
        <v>5679</v>
      </c>
      <c r="U895" s="482"/>
      <c r="V895" s="482"/>
      <c r="W895" s="483"/>
      <c r="X895" s="482"/>
      <c r="Y895" s="482"/>
      <c r="Z895" s="482"/>
      <c r="AA895" s="482"/>
      <c r="AB895" s="482"/>
      <c r="AC895" s="482"/>
      <c r="AD895" s="482"/>
      <c r="AE895" s="482"/>
      <c r="AF895" s="482"/>
      <c r="AG895" s="482"/>
      <c r="AH895" s="482"/>
      <c r="AI895" s="482"/>
      <c r="AJ895" s="482"/>
      <c r="AK895" s="482"/>
      <c r="AL895" s="482"/>
      <c r="AM895" s="482"/>
      <c r="AN895" s="482"/>
      <c r="AO895" s="482"/>
      <c r="AP895" s="482"/>
      <c r="AQ895" s="482"/>
      <c r="AR895" s="482"/>
      <c r="AS895" s="482"/>
      <c r="AT895" s="482"/>
      <c r="AU895" s="482"/>
      <c r="AV895" s="482"/>
      <c r="AW895" s="482"/>
      <c r="AX895" s="482"/>
      <c r="AY895" s="486" t="str">
        <f t="shared" si="60"/>
        <v/>
      </c>
      <c r="AZ895" s="487" t="str">
        <f t="shared" si="61"/>
        <v/>
      </c>
      <c r="BA895" s="482"/>
      <c r="BB895" s="482"/>
      <c r="BC895" s="482"/>
      <c r="BD895" s="482"/>
      <c r="BE895" s="482"/>
      <c r="BF895" s="482"/>
      <c r="BG895" s="482"/>
      <c r="BH895" s="482"/>
      <c r="BI895" s="482"/>
      <c r="BJ895" s="482"/>
      <c r="BK895" s="482"/>
      <c r="BL895" s="482"/>
      <c r="BM895" s="482"/>
      <c r="BN895" s="482"/>
      <c r="BO895" s="482"/>
      <c r="BP895" s="482"/>
      <c r="BQ895" s="482"/>
      <c r="BR895" s="482"/>
      <c r="BS895" s="482"/>
      <c r="BT895" s="482"/>
      <c r="BU895" s="482"/>
      <c r="BV895" s="482"/>
      <c r="BW895" s="482"/>
      <c r="BX895" s="482"/>
      <c r="BY895" s="482"/>
      <c r="BZ895" s="482"/>
      <c r="CA895" s="482"/>
      <c r="CB895" s="482"/>
      <c r="CC895" s="482"/>
      <c r="CD895" s="482"/>
      <c r="CE895" s="482"/>
      <c r="CF895" s="482"/>
      <c r="CG895" s="482"/>
      <c r="CH895" s="484"/>
    </row>
    <row r="896" spans="1:90" s="461" customFormat="1" ht="12" customHeight="1" x14ac:dyDescent="0.15">
      <c r="A896" s="522" t="s">
        <v>1381</v>
      </c>
      <c r="B896" s="467">
        <v>42605</v>
      </c>
      <c r="C896" s="468" t="s">
        <v>4512</v>
      </c>
      <c r="D896" s="468" t="s">
        <v>5400</v>
      </c>
      <c r="E896" s="468" t="s">
        <v>5401</v>
      </c>
      <c r="F896" s="468" t="s">
        <v>2377</v>
      </c>
      <c r="G896" s="466">
        <v>9</v>
      </c>
      <c r="H896" s="465">
        <v>5.5</v>
      </c>
      <c r="I896" s="466"/>
      <c r="J896" s="466"/>
      <c r="K896" s="466">
        <v>10</v>
      </c>
      <c r="L896" s="601">
        <v>6</v>
      </c>
      <c r="M896" s="463">
        <v>6600</v>
      </c>
      <c r="N896" s="468" t="s">
        <v>197</v>
      </c>
      <c r="O896" s="466">
        <v>8</v>
      </c>
      <c r="P896" s="523">
        <v>-9.75</v>
      </c>
      <c r="Q896" s="462">
        <v>7.7303240740740728E-4</v>
      </c>
      <c r="R896" s="463">
        <v>66</v>
      </c>
      <c r="S896" s="466"/>
      <c r="T896" s="524"/>
      <c r="W896" s="460"/>
      <c r="AY896" s="486" t="str">
        <f t="shared" si="60"/>
        <v/>
      </c>
      <c r="AZ896" s="487" t="str">
        <f t="shared" si="61"/>
        <v/>
      </c>
      <c r="CH896" s="459"/>
    </row>
    <row r="897" spans="1:90" s="461" customFormat="1" ht="12" customHeight="1" x14ac:dyDescent="0.15">
      <c r="A897" s="522" t="s">
        <v>2276</v>
      </c>
      <c r="B897" s="467">
        <v>42606</v>
      </c>
      <c r="C897" s="468" t="s">
        <v>1786</v>
      </c>
      <c r="D897" s="468" t="s">
        <v>4257</v>
      </c>
      <c r="E897" s="468" t="s">
        <v>4949</v>
      </c>
      <c r="F897" s="468" t="s">
        <v>2376</v>
      </c>
      <c r="G897" s="466">
        <v>3</v>
      </c>
      <c r="H897" s="465">
        <v>8</v>
      </c>
      <c r="I897" s="466" t="s">
        <v>3730</v>
      </c>
      <c r="J897" s="466" t="s">
        <v>3770</v>
      </c>
      <c r="K897" s="466">
        <v>8</v>
      </c>
      <c r="L897" s="601">
        <v>4</v>
      </c>
      <c r="M897" s="463">
        <v>33300</v>
      </c>
      <c r="N897" s="468" t="s">
        <v>4296</v>
      </c>
      <c r="O897" s="466">
        <v>7</v>
      </c>
      <c r="P897" s="523">
        <v>-15</v>
      </c>
      <c r="Q897" s="462">
        <v>1.1167824074074075E-3</v>
      </c>
      <c r="R897" s="463">
        <v>0</v>
      </c>
      <c r="S897" s="466"/>
      <c r="T897" s="524"/>
      <c r="W897" s="460"/>
      <c r="AY897" s="486" t="str">
        <f t="shared" si="60"/>
        <v/>
      </c>
      <c r="AZ897" s="487" t="str">
        <f t="shared" si="61"/>
        <v/>
      </c>
      <c r="CH897" s="459"/>
    </row>
    <row r="898" spans="1:90" s="469" customFormat="1" ht="12" customHeight="1" x14ac:dyDescent="0.15">
      <c r="A898" s="471" t="s">
        <v>2177</v>
      </c>
      <c r="B898" s="472">
        <v>42606</v>
      </c>
      <c r="C898" s="471" t="s">
        <v>1805</v>
      </c>
      <c r="D898" s="471" t="s">
        <v>3855</v>
      </c>
      <c r="E898" s="471" t="s">
        <v>5175</v>
      </c>
      <c r="F898" s="471" t="s">
        <v>2376</v>
      </c>
      <c r="G898" s="473">
        <v>3</v>
      </c>
      <c r="H898" s="474">
        <v>8</v>
      </c>
      <c r="I898" s="475" t="s">
        <v>3730</v>
      </c>
      <c r="J898" s="475"/>
      <c r="K898" s="473">
        <v>10</v>
      </c>
      <c r="L898" s="458">
        <v>4</v>
      </c>
      <c r="M898" s="476">
        <v>33300</v>
      </c>
      <c r="N898" s="471" t="s">
        <v>4296</v>
      </c>
      <c r="O898" s="637" t="s">
        <v>431</v>
      </c>
      <c r="P898" s="478" t="s">
        <v>431</v>
      </c>
      <c r="Q898" s="479" t="s">
        <v>431</v>
      </c>
      <c r="R898" s="480" t="s">
        <v>431</v>
      </c>
      <c r="S898" s="477"/>
      <c r="T898" s="481" t="s">
        <v>5528</v>
      </c>
      <c r="U898" s="482"/>
      <c r="V898" s="482"/>
      <c r="W898" s="483"/>
      <c r="X898" s="482"/>
      <c r="Y898" s="482"/>
      <c r="Z898" s="482"/>
      <c r="AA898" s="482"/>
      <c r="AB898" s="482"/>
      <c r="AC898" s="482"/>
      <c r="AD898" s="482"/>
      <c r="AE898" s="482"/>
      <c r="AF898" s="482"/>
      <c r="AG898" s="482"/>
      <c r="AH898" s="482"/>
      <c r="AI898" s="482"/>
      <c r="AJ898" s="482"/>
      <c r="AK898" s="482"/>
      <c r="AL898" s="482"/>
      <c r="AM898" s="482"/>
      <c r="AN898" s="482"/>
      <c r="AO898" s="482"/>
      <c r="AP898" s="482"/>
      <c r="AQ898" s="482"/>
      <c r="AR898" s="482"/>
      <c r="AS898" s="482"/>
      <c r="AT898" s="482"/>
      <c r="AU898" s="482"/>
      <c r="AV898" s="482"/>
      <c r="AW898" s="482"/>
      <c r="AX898" s="482"/>
      <c r="AY898" s="486" t="str">
        <f t="shared" si="60"/>
        <v/>
      </c>
      <c r="AZ898" s="487" t="str">
        <f t="shared" si="61"/>
        <v/>
      </c>
      <c r="BA898" s="482"/>
      <c r="BB898" s="482"/>
      <c r="BC898" s="482"/>
      <c r="BD898" s="482"/>
      <c r="BE898" s="482"/>
      <c r="BF898" s="482"/>
      <c r="BG898" s="482"/>
      <c r="BH898" s="482"/>
      <c r="BI898" s="482"/>
      <c r="BJ898" s="482"/>
      <c r="BK898" s="482"/>
      <c r="BL898" s="482"/>
      <c r="BM898" s="482"/>
      <c r="BN898" s="482"/>
      <c r="BO898" s="482"/>
      <c r="BP898" s="482"/>
      <c r="BQ898" s="482"/>
      <c r="BR898" s="482"/>
      <c r="BS898" s="482"/>
      <c r="BT898" s="482"/>
      <c r="BU898" s="482"/>
      <c r="BV898" s="482"/>
      <c r="BW898" s="482"/>
      <c r="BX898" s="482"/>
      <c r="BY898" s="482"/>
      <c r="BZ898" s="482"/>
      <c r="CA898" s="482"/>
      <c r="CB898" s="482"/>
      <c r="CC898" s="482"/>
      <c r="CD898" s="482"/>
      <c r="CE898" s="482"/>
      <c r="CF898" s="482"/>
      <c r="CG898" s="482"/>
      <c r="CH898" s="484"/>
    </row>
    <row r="899" spans="1:90" s="469" customFormat="1" ht="12" customHeight="1" x14ac:dyDescent="0.15">
      <c r="A899" s="444" t="s">
        <v>2178</v>
      </c>
      <c r="B899" s="445">
        <v>42606</v>
      </c>
      <c r="C899" s="446" t="s">
        <v>5146</v>
      </c>
      <c r="D899" s="446" t="s">
        <v>5279</v>
      </c>
      <c r="E899" s="446" t="s">
        <v>4885</v>
      </c>
      <c r="F899" s="446" t="s">
        <v>4828</v>
      </c>
      <c r="G899" s="447">
        <v>5</v>
      </c>
      <c r="H899" s="448">
        <v>6.5</v>
      </c>
      <c r="I899" s="447" t="s">
        <v>1360</v>
      </c>
      <c r="J899" s="447"/>
      <c r="K899" s="447">
        <v>9</v>
      </c>
      <c r="L899" s="449">
        <v>12</v>
      </c>
      <c r="M899" s="450">
        <v>13000</v>
      </c>
      <c r="N899" s="446" t="s">
        <v>4924</v>
      </c>
      <c r="O899" s="447">
        <v>1</v>
      </c>
      <c r="P899" s="451">
        <v>0.5</v>
      </c>
      <c r="Q899" s="452">
        <v>9.0509259259259243E-4</v>
      </c>
      <c r="R899" s="450">
        <v>10140</v>
      </c>
      <c r="S899" s="447"/>
      <c r="T899" s="453"/>
      <c r="U899" s="454"/>
      <c r="V899" s="454"/>
      <c r="W899" s="455"/>
      <c r="X899" s="454"/>
      <c r="Y899" s="454"/>
      <c r="Z899" s="454"/>
      <c r="AA899" s="454"/>
      <c r="AB899" s="454"/>
      <c r="AC899" s="454"/>
      <c r="AD899" s="454"/>
      <c r="AE899" s="454"/>
      <c r="AF899" s="454"/>
      <c r="AG899" s="454"/>
      <c r="AH899" s="454"/>
      <c r="AI899" s="454"/>
      <c r="AJ899" s="454"/>
      <c r="AK899" s="454"/>
      <c r="AL899" s="454"/>
      <c r="AM899" s="454"/>
      <c r="AN899" s="454"/>
      <c r="AO899" s="454"/>
      <c r="AP899" s="454"/>
      <c r="AQ899" s="454"/>
      <c r="AR899" s="454"/>
      <c r="AS899" s="454"/>
      <c r="AT899" s="454"/>
      <c r="AU899" s="454"/>
      <c r="AV899" s="454"/>
      <c r="AW899" s="454"/>
      <c r="AX899" s="454"/>
      <c r="AY899" s="486" t="str">
        <f t="shared" si="60"/>
        <v/>
      </c>
      <c r="AZ899" s="487">
        <f t="shared" si="61"/>
        <v>1</v>
      </c>
      <c r="BA899" s="454"/>
      <c r="BB899" s="454"/>
      <c r="BC899" s="454"/>
      <c r="BD899" s="454"/>
      <c r="BE899" s="454"/>
      <c r="BF899" s="454"/>
      <c r="BG899" s="454"/>
      <c r="BH899" s="454"/>
      <c r="BI899" s="454"/>
      <c r="BJ899" s="454"/>
      <c r="BK899" s="454"/>
      <c r="BL899" s="454"/>
      <c r="BM899" s="454"/>
      <c r="BN899" s="454"/>
      <c r="BO899" s="454"/>
      <c r="BP899" s="454"/>
      <c r="BQ899" s="454"/>
      <c r="BR899" s="454"/>
      <c r="BS899" s="454"/>
      <c r="BT899" s="454"/>
      <c r="BU899" s="454"/>
      <c r="BV899" s="454"/>
      <c r="BW899" s="454"/>
      <c r="BX899" s="454"/>
      <c r="BY899" s="454"/>
      <c r="BZ899" s="454"/>
      <c r="CA899" s="454"/>
      <c r="CB899" s="454"/>
      <c r="CC899" s="454"/>
      <c r="CD899" s="454"/>
      <c r="CE899" s="454"/>
      <c r="CF899" s="454"/>
      <c r="CG899" s="454"/>
      <c r="CH899" s="456"/>
      <c r="CI899" s="454"/>
      <c r="CJ899" s="454"/>
      <c r="CK899" s="454"/>
      <c r="CL899" s="454"/>
    </row>
    <row r="900" spans="1:90" s="461" customFormat="1" ht="12" customHeight="1" x14ac:dyDescent="0.15">
      <c r="A900" s="522" t="s">
        <v>2278</v>
      </c>
      <c r="B900" s="467">
        <v>42606</v>
      </c>
      <c r="C900" s="468" t="s">
        <v>4747</v>
      </c>
      <c r="D900" s="468" t="s">
        <v>4742</v>
      </c>
      <c r="E900" s="468" t="s">
        <v>4968</v>
      </c>
      <c r="F900" s="468" t="s">
        <v>4828</v>
      </c>
      <c r="G900" s="466">
        <v>5</v>
      </c>
      <c r="H900" s="465">
        <v>6.5</v>
      </c>
      <c r="I900" s="466" t="s">
        <v>1360</v>
      </c>
      <c r="J900" s="466"/>
      <c r="K900" s="466">
        <v>9</v>
      </c>
      <c r="L900" s="601">
        <v>6</v>
      </c>
      <c r="M900" s="463">
        <v>13000</v>
      </c>
      <c r="N900" s="468" t="s">
        <v>4924</v>
      </c>
      <c r="O900" s="466">
        <v>7</v>
      </c>
      <c r="P900" s="523">
        <v>-3.25</v>
      </c>
      <c r="Q900" s="462">
        <v>9.0509259259259243E-4</v>
      </c>
      <c r="R900" s="463">
        <v>200</v>
      </c>
      <c r="S900" s="466"/>
      <c r="T900" s="524"/>
      <c r="W900" s="460"/>
      <c r="AY900" s="486" t="str">
        <f t="shared" si="60"/>
        <v/>
      </c>
      <c r="AZ900" s="487" t="str">
        <f t="shared" si="61"/>
        <v/>
      </c>
      <c r="CH900" s="459"/>
    </row>
    <row r="901" spans="1:90" s="461" customFormat="1" ht="12" customHeight="1" x14ac:dyDescent="0.15">
      <c r="A901" s="522" t="s">
        <v>351</v>
      </c>
      <c r="B901" s="467">
        <v>42606</v>
      </c>
      <c r="C901" s="468" t="s">
        <v>4845</v>
      </c>
      <c r="D901" s="468" t="s">
        <v>4841</v>
      </c>
      <c r="E901" s="468" t="s">
        <v>4842</v>
      </c>
      <c r="F901" s="468" t="s">
        <v>4843</v>
      </c>
      <c r="G901" s="466">
        <v>6</v>
      </c>
      <c r="H901" s="465">
        <v>6</v>
      </c>
      <c r="I901" s="466"/>
      <c r="J901" s="466"/>
      <c r="K901" s="466">
        <v>9</v>
      </c>
      <c r="L901" s="601">
        <f>7/2</f>
        <v>3.5</v>
      </c>
      <c r="M901" s="463">
        <v>5868</v>
      </c>
      <c r="N901" s="468" t="s">
        <v>5087</v>
      </c>
      <c r="O901" s="466">
        <v>3</v>
      </c>
      <c r="P901" s="523">
        <v>-2.75</v>
      </c>
      <c r="Q901" s="462">
        <v>8.449074074074075E-4</v>
      </c>
      <c r="R901" s="463">
        <v>596</v>
      </c>
      <c r="S901" s="466"/>
      <c r="T901" s="524"/>
      <c r="W901" s="460"/>
      <c r="AY901" s="486" t="str">
        <f t="shared" si="60"/>
        <v/>
      </c>
      <c r="AZ901" s="487" t="str">
        <f t="shared" si="61"/>
        <v/>
      </c>
      <c r="CH901" s="459"/>
    </row>
    <row r="902" spans="1:90" s="461" customFormat="1" ht="12" customHeight="1" x14ac:dyDescent="0.15">
      <c r="A902" s="522" t="s">
        <v>2478</v>
      </c>
      <c r="B902" s="467">
        <v>42607</v>
      </c>
      <c r="C902" s="468" t="s">
        <v>5505</v>
      </c>
      <c r="D902" s="468" t="s">
        <v>5414</v>
      </c>
      <c r="E902" s="468" t="s">
        <v>5366</v>
      </c>
      <c r="F902" s="468" t="s">
        <v>5311</v>
      </c>
      <c r="G902" s="466">
        <v>6</v>
      </c>
      <c r="H902" s="465">
        <v>8</v>
      </c>
      <c r="I902" s="466" t="s">
        <v>3730</v>
      </c>
      <c r="J902" s="466"/>
      <c r="K902" s="466">
        <v>10</v>
      </c>
      <c r="L902" s="601">
        <v>8</v>
      </c>
      <c r="M902" s="463">
        <v>45000</v>
      </c>
      <c r="N902" s="468" t="s">
        <v>4945</v>
      </c>
      <c r="O902" s="466">
        <v>3</v>
      </c>
      <c r="P902" s="523">
        <v>-1</v>
      </c>
      <c r="Q902" s="462">
        <v>1.1302083333333333E-3</v>
      </c>
      <c r="R902" s="463">
        <v>4500</v>
      </c>
      <c r="S902" s="466"/>
      <c r="T902" s="524"/>
      <c r="W902" s="460"/>
      <c r="AY902" s="486" t="str">
        <f t="shared" si="60"/>
        <v/>
      </c>
      <c r="AZ902" s="487" t="str">
        <f t="shared" si="61"/>
        <v/>
      </c>
      <c r="CH902" s="459"/>
    </row>
    <row r="903" spans="1:90" s="461" customFormat="1" ht="12" customHeight="1" x14ac:dyDescent="0.15">
      <c r="A903" s="522" t="s">
        <v>2364</v>
      </c>
      <c r="B903" s="467">
        <v>42607</v>
      </c>
      <c r="C903" s="468" t="s">
        <v>3922</v>
      </c>
      <c r="D903" s="468" t="s">
        <v>3923</v>
      </c>
      <c r="E903" s="468" t="s">
        <v>3924</v>
      </c>
      <c r="F903" s="468" t="s">
        <v>4828</v>
      </c>
      <c r="G903" s="466">
        <v>8</v>
      </c>
      <c r="H903" s="465">
        <v>5.5</v>
      </c>
      <c r="I903" s="466" t="s">
        <v>1360</v>
      </c>
      <c r="J903" s="466"/>
      <c r="K903" s="466">
        <v>7</v>
      </c>
      <c r="L903" s="601">
        <f>7/2</f>
        <v>3.5</v>
      </c>
      <c r="M903" s="463">
        <v>28000</v>
      </c>
      <c r="N903" s="468" t="s">
        <v>4578</v>
      </c>
      <c r="O903" s="466">
        <v>5</v>
      </c>
      <c r="P903" s="523">
        <v>-8</v>
      </c>
      <c r="Q903" s="462">
        <v>7.3657407407407406E-4</v>
      </c>
      <c r="R903" s="463">
        <v>700</v>
      </c>
      <c r="S903" s="466"/>
      <c r="T903" s="639" t="s">
        <v>3755</v>
      </c>
      <c r="W903" s="460"/>
      <c r="AY903" s="486" t="str">
        <f t="shared" si="60"/>
        <v/>
      </c>
      <c r="AZ903" s="487" t="str">
        <f t="shared" si="61"/>
        <v/>
      </c>
      <c r="CH903" s="459"/>
    </row>
    <row r="904" spans="1:90" s="461" customFormat="1" ht="12" customHeight="1" x14ac:dyDescent="0.15">
      <c r="A904" s="522" t="s">
        <v>1788</v>
      </c>
      <c r="B904" s="467">
        <v>42608</v>
      </c>
      <c r="C904" s="468" t="s">
        <v>1474</v>
      </c>
      <c r="D904" s="468" t="s">
        <v>5331</v>
      </c>
      <c r="E904" s="468" t="s">
        <v>5402</v>
      </c>
      <c r="F904" s="468" t="s">
        <v>5333</v>
      </c>
      <c r="G904" s="466">
        <v>10</v>
      </c>
      <c r="H904" s="465">
        <f>1870/200</f>
        <v>9.35</v>
      </c>
      <c r="I904" s="466"/>
      <c r="J904" s="466"/>
      <c r="K904" s="466"/>
      <c r="L904" s="601"/>
      <c r="M904" s="463">
        <v>20390</v>
      </c>
      <c r="N904" s="468" t="s">
        <v>4296</v>
      </c>
      <c r="O904" s="466">
        <v>3</v>
      </c>
      <c r="P904" s="523"/>
      <c r="Q904" s="462"/>
      <c r="R904" s="463">
        <v>1631</v>
      </c>
      <c r="S904" s="466"/>
      <c r="T904" s="639"/>
      <c r="W904" s="460"/>
      <c r="AY904" s="486" t="str">
        <f t="shared" si="60"/>
        <v/>
      </c>
      <c r="AZ904" s="487"/>
      <c r="CH904" s="459"/>
    </row>
    <row r="905" spans="1:90" s="469" customFormat="1" ht="12" customHeight="1" x14ac:dyDescent="0.15">
      <c r="A905" s="444" t="s">
        <v>4829</v>
      </c>
      <c r="B905" s="445">
        <v>42608</v>
      </c>
      <c r="C905" s="446" t="s">
        <v>2609</v>
      </c>
      <c r="D905" s="446" t="s">
        <v>4016</v>
      </c>
      <c r="E905" s="446" t="s">
        <v>3683</v>
      </c>
      <c r="F905" s="446" t="s">
        <v>3686</v>
      </c>
      <c r="G905" s="447">
        <v>5</v>
      </c>
      <c r="H905" s="448">
        <v>7.5</v>
      </c>
      <c r="I905" s="447"/>
      <c r="J905" s="447"/>
      <c r="K905" s="447">
        <v>7</v>
      </c>
      <c r="L905" s="449">
        <v>3</v>
      </c>
      <c r="M905" s="450">
        <v>6043</v>
      </c>
      <c r="N905" s="446" t="s">
        <v>3739</v>
      </c>
      <c r="O905" s="447">
        <v>1</v>
      </c>
      <c r="P905" s="451">
        <v>5</v>
      </c>
      <c r="Q905" s="452">
        <v>1.0527777777777777E-3</v>
      </c>
      <c r="R905" s="450">
        <v>3615</v>
      </c>
      <c r="S905" s="447" t="s">
        <v>625</v>
      </c>
      <c r="T905" s="453" t="s">
        <v>3714</v>
      </c>
      <c r="U905" s="454"/>
      <c r="V905" s="454"/>
      <c r="W905" s="455"/>
      <c r="X905" s="454"/>
      <c r="Y905" s="454"/>
      <c r="Z905" s="454"/>
      <c r="AA905" s="454"/>
      <c r="AB905" s="454"/>
      <c r="AC905" s="454"/>
      <c r="AD905" s="454"/>
      <c r="AE905" s="454"/>
      <c r="AF905" s="454"/>
      <c r="AG905" s="454"/>
      <c r="AH905" s="454"/>
      <c r="AI905" s="454"/>
      <c r="AJ905" s="454"/>
      <c r="AK905" s="454"/>
      <c r="AL905" s="454"/>
      <c r="AM905" s="454"/>
      <c r="AN905" s="454"/>
      <c r="AO905" s="454"/>
      <c r="AP905" s="454"/>
      <c r="AQ905" s="454"/>
      <c r="AR905" s="454"/>
      <c r="AS905" s="454"/>
      <c r="AT905" s="454"/>
      <c r="AU905" s="454"/>
      <c r="AV905" s="454"/>
      <c r="AW905" s="454"/>
      <c r="AX905" s="454"/>
      <c r="AY905" s="486">
        <f t="shared" si="60"/>
        <v>3615</v>
      </c>
      <c r="AZ905" s="487">
        <f t="shared" si="61"/>
        <v>1</v>
      </c>
      <c r="BA905" s="454"/>
      <c r="BB905" s="454"/>
      <c r="BC905" s="454"/>
      <c r="BD905" s="454"/>
      <c r="BE905" s="454"/>
      <c r="BF905" s="454"/>
      <c r="BG905" s="454"/>
      <c r="BH905" s="454"/>
      <c r="BI905" s="454"/>
      <c r="BJ905" s="454"/>
      <c r="BK905" s="454"/>
      <c r="BL905" s="454"/>
      <c r="BM905" s="454"/>
      <c r="BN905" s="454"/>
      <c r="BO905" s="454"/>
      <c r="BP905" s="454"/>
      <c r="BQ905" s="454"/>
      <c r="BR905" s="454"/>
      <c r="BS905" s="454"/>
      <c r="BT905" s="454"/>
      <c r="BU905" s="454"/>
      <c r="BV905" s="454"/>
      <c r="BW905" s="454"/>
      <c r="BX905" s="454"/>
      <c r="BY905" s="454"/>
      <c r="BZ905" s="454"/>
      <c r="CA905" s="454"/>
      <c r="CB905" s="454"/>
      <c r="CC905" s="454"/>
      <c r="CD905" s="454"/>
      <c r="CE905" s="454"/>
      <c r="CF905" s="454"/>
      <c r="CG905" s="454"/>
      <c r="CH905" s="456"/>
      <c r="CI905" s="454"/>
      <c r="CJ905" s="454"/>
      <c r="CK905" s="454"/>
      <c r="CL905" s="454"/>
    </row>
    <row r="906" spans="1:90" s="461" customFormat="1" ht="12" customHeight="1" x14ac:dyDescent="0.15">
      <c r="A906" s="522" t="s">
        <v>4583</v>
      </c>
      <c r="B906" s="467">
        <v>42608</v>
      </c>
      <c r="C906" s="468" t="s">
        <v>2744</v>
      </c>
      <c r="D906" s="468" t="s">
        <v>3832</v>
      </c>
      <c r="E906" s="468" t="s">
        <v>3846</v>
      </c>
      <c r="F906" s="468" t="s">
        <v>3686</v>
      </c>
      <c r="G906" s="466">
        <v>5</v>
      </c>
      <c r="H906" s="465">
        <v>7.5</v>
      </c>
      <c r="I906" s="466"/>
      <c r="J906" s="466"/>
      <c r="K906" s="466">
        <v>7</v>
      </c>
      <c r="L906" s="601">
        <v>4</v>
      </c>
      <c r="M906" s="463">
        <v>6043</v>
      </c>
      <c r="N906" s="468" t="s">
        <v>3739</v>
      </c>
      <c r="O906" s="466">
        <v>2</v>
      </c>
      <c r="P906" s="523">
        <v>-5</v>
      </c>
      <c r="Q906" s="462">
        <v>1.0527777777777777E-3</v>
      </c>
      <c r="R906" s="463">
        <v>1265</v>
      </c>
      <c r="S906" s="466" t="s">
        <v>625</v>
      </c>
      <c r="T906" s="639" t="s">
        <v>3755</v>
      </c>
      <c r="W906" s="460"/>
      <c r="AY906" s="486">
        <f>IF(S906="","",R906)</f>
        <v>1265</v>
      </c>
      <c r="AZ906" s="487" t="str">
        <f>IF(F906="Pleasant Meadows","",IF(L906="","",IF(O906="--","",IF(O906=1,1,""))))</f>
        <v/>
      </c>
      <c r="CH906" s="459"/>
    </row>
    <row r="907" spans="1:90" s="461" customFormat="1" ht="12" customHeight="1" x14ac:dyDescent="0.15">
      <c r="A907" s="522" t="s">
        <v>3834</v>
      </c>
      <c r="B907" s="467">
        <v>42608</v>
      </c>
      <c r="C907" s="468" t="s">
        <v>3835</v>
      </c>
      <c r="D907" s="468" t="s">
        <v>5476</v>
      </c>
      <c r="E907" s="468" t="s">
        <v>4534</v>
      </c>
      <c r="F907" s="468" t="s">
        <v>3686</v>
      </c>
      <c r="G907" s="466">
        <v>5</v>
      </c>
      <c r="H907" s="465">
        <v>7.5</v>
      </c>
      <c r="I907" s="466"/>
      <c r="J907" s="466"/>
      <c r="K907" s="466">
        <v>7</v>
      </c>
      <c r="L907" s="601">
        <v>5</v>
      </c>
      <c r="M907" s="463">
        <v>6043</v>
      </c>
      <c r="N907" s="468" t="s">
        <v>3739</v>
      </c>
      <c r="O907" s="466">
        <v>6</v>
      </c>
      <c r="P907" s="523">
        <v>-32.25</v>
      </c>
      <c r="Q907" s="462">
        <v>1.0527777777777777E-3</v>
      </c>
      <c r="R907" s="463">
        <v>99</v>
      </c>
      <c r="S907" s="466" t="s">
        <v>625</v>
      </c>
      <c r="T907" s="524"/>
      <c r="W907" s="460"/>
      <c r="AY907" s="486">
        <f t="shared" si="60"/>
        <v>99</v>
      </c>
      <c r="AZ907" s="487" t="str">
        <f t="shared" si="61"/>
        <v/>
      </c>
      <c r="CH907" s="459"/>
    </row>
    <row r="908" spans="1:90" s="461" customFormat="1" ht="12" customHeight="1" x14ac:dyDescent="0.15">
      <c r="A908" s="522" t="s">
        <v>3944</v>
      </c>
      <c r="B908" s="467">
        <v>42608</v>
      </c>
      <c r="C908" s="468" t="s">
        <v>3949</v>
      </c>
      <c r="D908" s="468" t="s">
        <v>3213</v>
      </c>
      <c r="E908" s="468" t="s">
        <v>3848</v>
      </c>
      <c r="F908" s="468" t="s">
        <v>3686</v>
      </c>
      <c r="G908" s="466">
        <v>6</v>
      </c>
      <c r="H908" s="465">
        <v>7.5</v>
      </c>
      <c r="I908" s="466"/>
      <c r="J908" s="466"/>
      <c r="K908" s="466">
        <v>9</v>
      </c>
      <c r="L908" s="601">
        <f>7/2</f>
        <v>3.5</v>
      </c>
      <c r="M908" s="463">
        <v>6043</v>
      </c>
      <c r="N908" s="468" t="s">
        <v>3739</v>
      </c>
      <c r="O908" s="466">
        <v>3</v>
      </c>
      <c r="P908" s="523">
        <v>-3.75</v>
      </c>
      <c r="Q908" s="462">
        <v>1.0586805555555555E-3</v>
      </c>
      <c r="R908" s="463">
        <v>783</v>
      </c>
      <c r="S908" s="466" t="s">
        <v>625</v>
      </c>
      <c r="T908" s="639" t="s">
        <v>3755</v>
      </c>
      <c r="W908" s="460"/>
      <c r="AY908" s="486">
        <f>IF(S908="","",R908)</f>
        <v>783</v>
      </c>
      <c r="AZ908" s="487" t="str">
        <f>IF(F908="Pleasant Meadows","",IF(L908="","",IF(O908="--","",IF(O908=1,1,""))))</f>
        <v/>
      </c>
      <c r="CH908" s="459"/>
    </row>
    <row r="909" spans="1:90" s="461" customFormat="1" ht="12" customHeight="1" x14ac:dyDescent="0.15">
      <c r="A909" s="522" t="s">
        <v>3829</v>
      </c>
      <c r="B909" s="467">
        <v>42608</v>
      </c>
      <c r="C909" s="468" t="s">
        <v>2744</v>
      </c>
      <c r="D909" s="468" t="s">
        <v>3832</v>
      </c>
      <c r="E909" s="468" t="s">
        <v>3846</v>
      </c>
      <c r="F909" s="468" t="s">
        <v>3686</v>
      </c>
      <c r="G909" s="466">
        <v>6</v>
      </c>
      <c r="H909" s="465">
        <v>7.5</v>
      </c>
      <c r="I909" s="466"/>
      <c r="J909" s="466"/>
      <c r="K909" s="466">
        <v>9</v>
      </c>
      <c r="L909" s="601">
        <f>7/2</f>
        <v>3.5</v>
      </c>
      <c r="M909" s="463">
        <v>6043</v>
      </c>
      <c r="N909" s="468" t="s">
        <v>3739</v>
      </c>
      <c r="O909" s="466">
        <v>8</v>
      </c>
      <c r="P909" s="523">
        <v>-9</v>
      </c>
      <c r="Q909" s="462">
        <v>1.0586805555555555E-3</v>
      </c>
      <c r="R909" s="463">
        <v>99</v>
      </c>
      <c r="S909" s="466" t="s">
        <v>625</v>
      </c>
      <c r="T909" s="639" t="s">
        <v>3755</v>
      </c>
      <c r="W909" s="460"/>
      <c r="AY909" s="486">
        <f t="shared" si="60"/>
        <v>99</v>
      </c>
      <c r="AZ909" s="487" t="str">
        <f t="shared" si="61"/>
        <v/>
      </c>
      <c r="CH909" s="459"/>
    </row>
    <row r="910" spans="1:90" s="469" customFormat="1" ht="12" customHeight="1" x14ac:dyDescent="0.15">
      <c r="A910" s="444" t="s">
        <v>2484</v>
      </c>
      <c r="B910" s="445">
        <v>42609</v>
      </c>
      <c r="C910" s="446" t="s">
        <v>5220</v>
      </c>
      <c r="D910" s="446" t="s">
        <v>5217</v>
      </c>
      <c r="E910" s="446" t="s">
        <v>3189</v>
      </c>
      <c r="F910" s="446" t="s">
        <v>1205</v>
      </c>
      <c r="G910" s="447">
        <v>5</v>
      </c>
      <c r="H910" s="448">
        <v>4</v>
      </c>
      <c r="I910" s="447"/>
      <c r="J910" s="447"/>
      <c r="K910" s="447">
        <v>9</v>
      </c>
      <c r="L910" s="449">
        <v>6</v>
      </c>
      <c r="M910" s="450">
        <v>20000</v>
      </c>
      <c r="N910" s="446" t="s">
        <v>5527</v>
      </c>
      <c r="O910" s="447">
        <v>1</v>
      </c>
      <c r="P910" s="451">
        <v>0.75</v>
      </c>
      <c r="Q910" s="452">
        <v>5.4606481481481487E-4</v>
      </c>
      <c r="R910" s="450">
        <v>11400</v>
      </c>
      <c r="S910" s="447"/>
      <c r="T910" s="453" t="s">
        <v>5578</v>
      </c>
      <c r="U910" s="454"/>
      <c r="V910" s="454"/>
      <c r="W910" s="455"/>
      <c r="X910" s="454"/>
      <c r="Y910" s="454"/>
      <c r="Z910" s="454"/>
      <c r="AA910" s="454"/>
      <c r="AB910" s="454"/>
      <c r="AC910" s="454"/>
      <c r="AD910" s="454"/>
      <c r="AE910" s="454"/>
      <c r="AF910" s="454"/>
      <c r="AG910" s="454"/>
      <c r="AH910" s="454"/>
      <c r="AI910" s="454"/>
      <c r="AJ910" s="454"/>
      <c r="AK910" s="454"/>
      <c r="AL910" s="454"/>
      <c r="AM910" s="454"/>
      <c r="AN910" s="454"/>
      <c r="AO910" s="454"/>
      <c r="AP910" s="454"/>
      <c r="AQ910" s="454"/>
      <c r="AR910" s="454"/>
      <c r="AS910" s="454"/>
      <c r="AT910" s="454"/>
      <c r="AU910" s="454"/>
      <c r="AV910" s="454"/>
      <c r="AW910" s="454"/>
      <c r="AX910" s="454"/>
      <c r="AY910" s="486" t="str">
        <f t="shared" si="60"/>
        <v/>
      </c>
      <c r="AZ910" s="487">
        <f t="shared" si="61"/>
        <v>1</v>
      </c>
      <c r="BA910" s="454"/>
      <c r="BB910" s="454"/>
      <c r="BC910" s="454"/>
      <c r="BD910" s="454"/>
      <c r="BE910" s="454"/>
      <c r="BF910" s="454"/>
      <c r="BG910" s="454"/>
      <c r="BH910" s="454"/>
      <c r="BI910" s="454"/>
      <c r="BJ910" s="454"/>
      <c r="BK910" s="454"/>
      <c r="BL910" s="454"/>
      <c r="BM910" s="454"/>
      <c r="BN910" s="454"/>
      <c r="BO910" s="454"/>
      <c r="BP910" s="454"/>
      <c r="BQ910" s="454"/>
      <c r="BR910" s="454"/>
      <c r="BS910" s="454"/>
      <c r="BT910" s="454"/>
      <c r="BU910" s="454"/>
      <c r="BV910" s="454"/>
      <c r="BW910" s="454"/>
      <c r="BX910" s="454"/>
      <c r="BY910" s="454"/>
      <c r="BZ910" s="454"/>
      <c r="CA910" s="454"/>
      <c r="CB910" s="454"/>
      <c r="CC910" s="454"/>
      <c r="CD910" s="454"/>
      <c r="CE910" s="454"/>
      <c r="CF910" s="454"/>
      <c r="CG910" s="454"/>
      <c r="CH910" s="456"/>
      <c r="CI910" s="454"/>
      <c r="CJ910" s="454"/>
      <c r="CK910" s="454"/>
      <c r="CL910" s="454"/>
    </row>
    <row r="911" spans="1:90" s="461" customFormat="1" ht="12" customHeight="1" x14ac:dyDescent="0.15">
      <c r="A911" s="522" t="s">
        <v>3776</v>
      </c>
      <c r="B911" s="467">
        <v>42609</v>
      </c>
      <c r="C911" s="468" t="s">
        <v>3726</v>
      </c>
      <c r="D911" s="468" t="s">
        <v>3725</v>
      </c>
      <c r="E911" s="468" t="s">
        <v>3684</v>
      </c>
      <c r="F911" s="468" t="s">
        <v>3686</v>
      </c>
      <c r="G911" s="466">
        <v>3</v>
      </c>
      <c r="H911" s="465">
        <v>9</v>
      </c>
      <c r="I911" s="466"/>
      <c r="J911" s="466" t="s">
        <v>960</v>
      </c>
      <c r="K911" s="466">
        <v>9</v>
      </c>
      <c r="L911" s="525">
        <v>3</v>
      </c>
      <c r="M911" s="463">
        <v>7976</v>
      </c>
      <c r="N911" s="468" t="s">
        <v>3739</v>
      </c>
      <c r="O911" s="466">
        <v>2</v>
      </c>
      <c r="P911" s="523">
        <v>-3</v>
      </c>
      <c r="Q911" s="462">
        <v>1.3265046296296295E-3</v>
      </c>
      <c r="R911" s="463">
        <v>1670</v>
      </c>
      <c r="S911" s="466" t="s">
        <v>625</v>
      </c>
      <c r="T911" s="639" t="s">
        <v>3714</v>
      </c>
      <c r="W911" s="460"/>
      <c r="AY911" s="486">
        <f t="shared" si="60"/>
        <v>1670</v>
      </c>
      <c r="AZ911" s="487" t="str">
        <f t="shared" si="61"/>
        <v/>
      </c>
      <c r="CH911" s="459"/>
    </row>
    <row r="912" spans="1:90" s="461" customFormat="1" ht="12" customHeight="1" x14ac:dyDescent="0.15">
      <c r="A912" s="522" t="s">
        <v>3369</v>
      </c>
      <c r="B912" s="467">
        <v>42609</v>
      </c>
      <c r="C912" s="468" t="s">
        <v>3370</v>
      </c>
      <c r="D912" s="468" t="s">
        <v>3902</v>
      </c>
      <c r="E912" s="468" t="s">
        <v>4712</v>
      </c>
      <c r="F912" s="468" t="s">
        <v>3686</v>
      </c>
      <c r="G912" s="466">
        <v>6</v>
      </c>
      <c r="H912" s="465">
        <v>6</v>
      </c>
      <c r="I912" s="466"/>
      <c r="J912" s="466" t="s">
        <v>960</v>
      </c>
      <c r="K912" s="466">
        <v>11</v>
      </c>
      <c r="L912" s="525">
        <f>7/2</f>
        <v>3.5</v>
      </c>
      <c r="M912" s="463">
        <v>5769</v>
      </c>
      <c r="N912" s="468" t="s">
        <v>3739</v>
      </c>
      <c r="O912" s="466">
        <v>2</v>
      </c>
      <c r="P912" s="523">
        <v>-1.75</v>
      </c>
      <c r="Q912" s="462">
        <v>8.5659722222222224E-4</v>
      </c>
      <c r="R912" s="463">
        <v>748</v>
      </c>
      <c r="S912" s="466" t="s">
        <v>625</v>
      </c>
      <c r="T912" s="639" t="s">
        <v>3755</v>
      </c>
      <c r="W912" s="460"/>
      <c r="AY912" s="486">
        <f t="shared" si="60"/>
        <v>748</v>
      </c>
      <c r="AZ912" s="487" t="str">
        <f t="shared" si="61"/>
        <v/>
      </c>
      <c r="CH912" s="459"/>
    </row>
    <row r="913" spans="1:90" s="469" customFormat="1" ht="12" customHeight="1" x14ac:dyDescent="0.15">
      <c r="A913" s="471" t="s">
        <v>5580</v>
      </c>
      <c r="B913" s="472">
        <v>42609</v>
      </c>
      <c r="C913" s="471" t="s">
        <v>5507</v>
      </c>
      <c r="D913" s="471" t="s">
        <v>5508</v>
      </c>
      <c r="E913" s="471" t="s">
        <v>5518</v>
      </c>
      <c r="F913" s="471" t="s">
        <v>3686</v>
      </c>
      <c r="G913" s="473">
        <v>7</v>
      </c>
      <c r="H913" s="474">
        <v>5.5</v>
      </c>
      <c r="I913" s="475"/>
      <c r="J913" s="475" t="s">
        <v>960</v>
      </c>
      <c r="K913" s="473">
        <v>12</v>
      </c>
      <c r="L913" s="458">
        <v>5</v>
      </c>
      <c r="M913" s="476">
        <v>7473</v>
      </c>
      <c r="N913" s="471" t="s">
        <v>3653</v>
      </c>
      <c r="O913" s="477" t="s">
        <v>431</v>
      </c>
      <c r="P913" s="478" t="s">
        <v>431</v>
      </c>
      <c r="Q913" s="479" t="s">
        <v>431</v>
      </c>
      <c r="R913" s="480" t="s">
        <v>431</v>
      </c>
      <c r="S913" s="477" t="s">
        <v>625</v>
      </c>
      <c r="T913" s="481" t="s">
        <v>3885</v>
      </c>
      <c r="U913" s="482"/>
      <c r="V913" s="482"/>
      <c r="W913" s="483"/>
      <c r="X913" s="482"/>
      <c r="Y913" s="482"/>
      <c r="Z913" s="482"/>
      <c r="AA913" s="482"/>
      <c r="AB913" s="482"/>
      <c r="AC913" s="482"/>
      <c r="AD913" s="482"/>
      <c r="AE913" s="482"/>
      <c r="AF913" s="482"/>
      <c r="AG913" s="482"/>
      <c r="AH913" s="482"/>
      <c r="AI913" s="482"/>
      <c r="AJ913" s="482"/>
      <c r="AK913" s="482"/>
      <c r="AL913" s="482"/>
      <c r="AM913" s="482"/>
      <c r="AN913" s="482"/>
      <c r="AO913" s="482"/>
      <c r="AP913" s="482"/>
      <c r="AQ913" s="482"/>
      <c r="AR913" s="482"/>
      <c r="AS913" s="482"/>
      <c r="AT913" s="482"/>
      <c r="AU913" s="482"/>
      <c r="AV913" s="482"/>
      <c r="AW913" s="482"/>
      <c r="AX913" s="482"/>
      <c r="AY913" s="486" t="str">
        <f t="shared" si="60"/>
        <v>--</v>
      </c>
      <c r="AZ913" s="487" t="str">
        <f t="shared" si="61"/>
        <v/>
      </c>
      <c r="BA913" s="482"/>
      <c r="BB913" s="482"/>
      <c r="BC913" s="482"/>
      <c r="BD913" s="482"/>
      <c r="BE913" s="482"/>
      <c r="BF913" s="482"/>
      <c r="BG913" s="482"/>
      <c r="BH913" s="482"/>
      <c r="BI913" s="482"/>
      <c r="BJ913" s="482"/>
      <c r="BK913" s="482"/>
      <c r="BL913" s="482"/>
      <c r="BM913" s="482"/>
      <c r="BN913" s="482"/>
      <c r="BO913" s="482"/>
      <c r="BP913" s="482"/>
      <c r="BQ913" s="482"/>
      <c r="BR913" s="482"/>
      <c r="BS913" s="482"/>
      <c r="BT913" s="482"/>
      <c r="BU913" s="482"/>
      <c r="BV913" s="482"/>
      <c r="BW913" s="482"/>
      <c r="BX913" s="482"/>
      <c r="BY913" s="482"/>
      <c r="BZ913" s="482"/>
      <c r="CA913" s="482"/>
      <c r="CB913" s="482"/>
      <c r="CC913" s="482"/>
      <c r="CD913" s="482"/>
      <c r="CE913" s="482"/>
      <c r="CF913" s="482"/>
      <c r="CG913" s="482"/>
      <c r="CH913" s="484"/>
    </row>
    <row r="914" spans="1:90" s="461" customFormat="1" ht="12" customHeight="1" x14ac:dyDescent="0.15">
      <c r="A914" s="522" t="s">
        <v>5512</v>
      </c>
      <c r="B914" s="467">
        <v>42609</v>
      </c>
      <c r="C914" s="468" t="s">
        <v>5513</v>
      </c>
      <c r="D914" s="468" t="s">
        <v>5514</v>
      </c>
      <c r="E914" s="468" t="s">
        <v>4298</v>
      </c>
      <c r="F914" s="468" t="s">
        <v>3686</v>
      </c>
      <c r="G914" s="466">
        <v>8</v>
      </c>
      <c r="H914" s="465">
        <v>5.5</v>
      </c>
      <c r="I914" s="466"/>
      <c r="J914" s="466" t="s">
        <v>960</v>
      </c>
      <c r="K914" s="466">
        <v>10</v>
      </c>
      <c r="L914" s="525">
        <v>5</v>
      </c>
      <c r="M914" s="463">
        <v>7473</v>
      </c>
      <c r="N914" s="468" t="s">
        <v>3653</v>
      </c>
      <c r="O914" s="466">
        <v>3</v>
      </c>
      <c r="P914" s="523">
        <v>-7.5</v>
      </c>
      <c r="Q914" s="462">
        <v>7.9224537037037035E-4</v>
      </c>
      <c r="R914" s="463">
        <v>969</v>
      </c>
      <c r="S914" s="466" t="s">
        <v>625</v>
      </c>
      <c r="T914" s="639"/>
      <c r="W914" s="460"/>
      <c r="AY914" s="486">
        <f>IF(S914="","",R914)</f>
        <v>969</v>
      </c>
      <c r="AZ914" s="487" t="str">
        <f>IF(F914="Pleasant Meadows","",IF(L914="","",IF(O914="--","",IF(O914=1,1,""))))</f>
        <v/>
      </c>
      <c r="CH914" s="459"/>
    </row>
    <row r="915" spans="1:90" s="461" customFormat="1" ht="12" customHeight="1" x14ac:dyDescent="0.15">
      <c r="A915" s="522" t="s">
        <v>5509</v>
      </c>
      <c r="B915" s="467">
        <v>42609</v>
      </c>
      <c r="C915" s="468" t="s">
        <v>5510</v>
      </c>
      <c r="D915" s="468" t="s">
        <v>5511</v>
      </c>
      <c r="E915" s="468" t="s">
        <v>3684</v>
      </c>
      <c r="F915" s="468" t="s">
        <v>3686</v>
      </c>
      <c r="G915" s="466">
        <v>8</v>
      </c>
      <c r="H915" s="465">
        <v>5.5</v>
      </c>
      <c r="I915" s="466"/>
      <c r="J915" s="466" t="s">
        <v>960</v>
      </c>
      <c r="K915" s="466">
        <v>10</v>
      </c>
      <c r="L915" s="525">
        <f>9/2</f>
        <v>4.5</v>
      </c>
      <c r="M915" s="463">
        <v>7473</v>
      </c>
      <c r="N915" s="468" t="s">
        <v>3653</v>
      </c>
      <c r="O915" s="466">
        <v>7</v>
      </c>
      <c r="P915" s="523">
        <v>-14.75</v>
      </c>
      <c r="Q915" s="462">
        <v>7.9224537037037035E-4</v>
      </c>
      <c r="R915" s="463">
        <v>99</v>
      </c>
      <c r="S915" s="466" t="s">
        <v>625</v>
      </c>
      <c r="T915" s="639"/>
      <c r="W915" s="460"/>
      <c r="AY915" s="486">
        <f t="shared" si="60"/>
        <v>99</v>
      </c>
      <c r="AZ915" s="487" t="str">
        <f t="shared" si="61"/>
        <v/>
      </c>
      <c r="CH915" s="459"/>
    </row>
    <row r="916" spans="1:90" s="461" customFormat="1" ht="12" customHeight="1" x14ac:dyDescent="0.15">
      <c r="A916" s="522" t="s">
        <v>2157</v>
      </c>
      <c r="B916" s="467">
        <v>42609</v>
      </c>
      <c r="C916" s="468" t="s">
        <v>4944</v>
      </c>
      <c r="D916" s="468" t="s">
        <v>4941</v>
      </c>
      <c r="E916" s="468" t="s">
        <v>4713</v>
      </c>
      <c r="F916" s="468" t="s">
        <v>2376</v>
      </c>
      <c r="G916" s="466">
        <v>1</v>
      </c>
      <c r="H916" s="465">
        <v>8.3000000000000007</v>
      </c>
      <c r="I916" s="466" t="s">
        <v>3730</v>
      </c>
      <c r="J916" s="466"/>
      <c r="K916" s="466">
        <v>8</v>
      </c>
      <c r="L916" s="525">
        <v>5</v>
      </c>
      <c r="M916" s="463">
        <v>28500</v>
      </c>
      <c r="N916" s="468" t="s">
        <v>4636</v>
      </c>
      <c r="O916" s="466">
        <v>2</v>
      </c>
      <c r="P916" s="523">
        <v>-1.5</v>
      </c>
      <c r="Q916" s="462">
        <v>1.1796296296296296E-3</v>
      </c>
      <c r="R916" s="463">
        <v>6840</v>
      </c>
      <c r="S916" s="466"/>
      <c r="T916" s="639"/>
      <c r="W916" s="460"/>
      <c r="AY916" s="486" t="str">
        <f t="shared" si="60"/>
        <v/>
      </c>
      <c r="AZ916" s="487" t="str">
        <f t="shared" si="61"/>
        <v/>
      </c>
      <c r="CH916" s="459"/>
    </row>
    <row r="917" spans="1:90" s="461" customFormat="1" ht="12" customHeight="1" x14ac:dyDescent="0.15">
      <c r="A917" s="522" t="s">
        <v>4518</v>
      </c>
      <c r="B917" s="467">
        <v>42609</v>
      </c>
      <c r="C917" s="468" t="s">
        <v>4519</v>
      </c>
      <c r="D917" s="468" t="s">
        <v>5227</v>
      </c>
      <c r="E917" s="468" t="s">
        <v>3844</v>
      </c>
      <c r="F917" s="468" t="s">
        <v>3686</v>
      </c>
      <c r="G917" s="466">
        <v>11</v>
      </c>
      <c r="H917" s="465">
        <v>6</v>
      </c>
      <c r="I917" s="466"/>
      <c r="J917" s="466" t="s">
        <v>960</v>
      </c>
      <c r="K917" s="466">
        <v>12</v>
      </c>
      <c r="L917" s="525">
        <v>5</v>
      </c>
      <c r="M917" s="463">
        <v>6068</v>
      </c>
      <c r="N917" s="468" t="s">
        <v>3739</v>
      </c>
      <c r="O917" s="466">
        <v>4</v>
      </c>
      <c r="P917" s="523">
        <v>-2</v>
      </c>
      <c r="Q917" s="462">
        <v>8.4733796296296293E-4</v>
      </c>
      <c r="R917" s="463">
        <v>364</v>
      </c>
      <c r="S917" s="466" t="s">
        <v>625</v>
      </c>
      <c r="T917" s="639"/>
      <c r="W917" s="460"/>
      <c r="AY917" s="486">
        <f t="shared" si="60"/>
        <v>364</v>
      </c>
      <c r="AZ917" s="487" t="str">
        <f t="shared" si="61"/>
        <v/>
      </c>
      <c r="CH917" s="459"/>
    </row>
    <row r="918" spans="1:90" s="461" customFormat="1" ht="12" customHeight="1" x14ac:dyDescent="0.15">
      <c r="A918" s="522" t="s">
        <v>5136</v>
      </c>
      <c r="B918" s="467">
        <v>42609</v>
      </c>
      <c r="C918" s="468" t="s">
        <v>5138</v>
      </c>
      <c r="D918" s="468" t="s">
        <v>3942</v>
      </c>
      <c r="E918" s="468" t="s">
        <v>3958</v>
      </c>
      <c r="F918" s="468" t="s">
        <v>3686</v>
      </c>
      <c r="G918" s="466">
        <v>12</v>
      </c>
      <c r="H918" s="466">
        <v>5.5</v>
      </c>
      <c r="I918" s="466"/>
      <c r="J918" s="466" t="s">
        <v>960</v>
      </c>
      <c r="K918" s="466">
        <v>12</v>
      </c>
      <c r="L918" s="525">
        <v>3</v>
      </c>
      <c r="M918" s="463">
        <v>5769</v>
      </c>
      <c r="N918" s="468" t="s">
        <v>3739</v>
      </c>
      <c r="O918" s="466">
        <v>2</v>
      </c>
      <c r="P918" s="523">
        <v>-2.25</v>
      </c>
      <c r="Q918" s="462">
        <v>7.7187499999999999E-4</v>
      </c>
      <c r="R918" s="463">
        <v>1208</v>
      </c>
      <c r="S918" s="466" t="s">
        <v>625</v>
      </c>
      <c r="T918" s="639" t="s">
        <v>3714</v>
      </c>
      <c r="W918" s="460"/>
      <c r="AY918" s="486">
        <f t="shared" si="60"/>
        <v>1208</v>
      </c>
      <c r="AZ918" s="487" t="str">
        <f t="shared" si="61"/>
        <v/>
      </c>
      <c r="CH918" s="459"/>
    </row>
    <row r="919" spans="1:90" s="461" customFormat="1" ht="12" customHeight="1" x14ac:dyDescent="0.15">
      <c r="A919" s="522" t="s">
        <v>42</v>
      </c>
      <c r="B919" s="467">
        <v>42609</v>
      </c>
      <c r="C919" s="468" t="s">
        <v>3765</v>
      </c>
      <c r="D919" s="468" t="s">
        <v>3764</v>
      </c>
      <c r="E919" s="468" t="s">
        <v>3738</v>
      </c>
      <c r="F919" s="468" t="s">
        <v>4516</v>
      </c>
      <c r="G919" s="466">
        <v>6</v>
      </c>
      <c r="H919" s="465">
        <v>8</v>
      </c>
      <c r="I919" s="466" t="s">
        <v>959</v>
      </c>
      <c r="J919" s="466" t="s">
        <v>960</v>
      </c>
      <c r="K919" s="466">
        <v>12</v>
      </c>
      <c r="L919" s="601">
        <v>6</v>
      </c>
      <c r="M919" s="463">
        <v>13500</v>
      </c>
      <c r="N919" s="468" t="s">
        <v>4766</v>
      </c>
      <c r="O919" s="466">
        <v>5</v>
      </c>
      <c r="P919" s="523">
        <v>-4.25</v>
      </c>
      <c r="Q919" s="462">
        <v>1.1704861111111111E-3</v>
      </c>
      <c r="R919" s="463">
        <v>405</v>
      </c>
      <c r="S919" s="466"/>
      <c r="T919" s="524"/>
      <c r="W919" s="460"/>
      <c r="AY919" s="486" t="str">
        <f t="shared" si="60"/>
        <v/>
      </c>
      <c r="AZ919" s="487" t="str">
        <f t="shared" si="61"/>
        <v/>
      </c>
      <c r="CH919" s="459"/>
    </row>
    <row r="920" spans="1:90" s="461" customFormat="1" ht="12" customHeight="1" x14ac:dyDescent="0.15">
      <c r="A920" s="522" t="s">
        <v>5423</v>
      </c>
      <c r="B920" s="467">
        <v>42610</v>
      </c>
      <c r="C920" s="468" t="s">
        <v>5424</v>
      </c>
      <c r="D920" s="468" t="s">
        <v>5500</v>
      </c>
      <c r="E920" s="468" t="s">
        <v>5519</v>
      </c>
      <c r="F920" s="468" t="s">
        <v>4738</v>
      </c>
      <c r="G920" s="466">
        <v>4</v>
      </c>
      <c r="H920" s="465">
        <v>5</v>
      </c>
      <c r="I920" s="466"/>
      <c r="J920" s="466" t="s">
        <v>4371</v>
      </c>
      <c r="K920" s="466">
        <v>12</v>
      </c>
      <c r="L920" s="465" t="s">
        <v>431</v>
      </c>
      <c r="M920" s="463">
        <v>4167</v>
      </c>
      <c r="N920" s="468" t="s">
        <v>3348</v>
      </c>
      <c r="O920" s="466">
        <v>10</v>
      </c>
      <c r="P920" s="523">
        <v>-19.75</v>
      </c>
      <c r="Q920" s="462">
        <v>8.1909722222222225E-4</v>
      </c>
      <c r="R920" s="463">
        <v>30</v>
      </c>
      <c r="S920" s="466" t="s">
        <v>625</v>
      </c>
      <c r="T920" s="524"/>
      <c r="W920" s="460"/>
      <c r="AY920" s="486">
        <f t="shared" si="60"/>
        <v>30</v>
      </c>
      <c r="AZ920" s="487" t="str">
        <f t="shared" si="61"/>
        <v/>
      </c>
      <c r="CH920" s="459"/>
    </row>
    <row r="921" spans="1:90" s="461" customFormat="1" ht="12" customHeight="1" x14ac:dyDescent="0.15">
      <c r="A921" s="522" t="s">
        <v>3932</v>
      </c>
      <c r="B921" s="467">
        <v>42610</v>
      </c>
      <c r="C921" s="468" t="s">
        <v>3952</v>
      </c>
      <c r="D921" s="468" t="s">
        <v>3948</v>
      </c>
      <c r="E921" s="468" t="s">
        <v>5520</v>
      </c>
      <c r="F921" s="468" t="s">
        <v>4738</v>
      </c>
      <c r="G921" s="466">
        <v>7</v>
      </c>
      <c r="H921" s="465">
        <v>5</v>
      </c>
      <c r="I921" s="466"/>
      <c r="J921" s="466" t="s">
        <v>4371</v>
      </c>
      <c r="K921" s="466">
        <v>14</v>
      </c>
      <c r="L921" s="465" t="s">
        <v>431</v>
      </c>
      <c r="M921" s="463">
        <v>1786</v>
      </c>
      <c r="N921" s="468" t="s">
        <v>5185</v>
      </c>
      <c r="O921" s="466">
        <v>3</v>
      </c>
      <c r="P921" s="523">
        <v>-10</v>
      </c>
      <c r="Q921" s="462">
        <v>8.2256944444444435E-4</v>
      </c>
      <c r="R921" s="463">
        <v>30</v>
      </c>
      <c r="S921" s="466" t="s">
        <v>625</v>
      </c>
      <c r="T921" s="524"/>
      <c r="W921" s="460"/>
      <c r="AY921" s="486">
        <f t="shared" si="60"/>
        <v>30</v>
      </c>
      <c r="AZ921" s="487" t="str">
        <f t="shared" si="61"/>
        <v/>
      </c>
      <c r="CH921" s="459"/>
    </row>
    <row r="922" spans="1:90" s="469" customFormat="1" ht="12" customHeight="1" x14ac:dyDescent="0.15">
      <c r="A922" s="444" t="s">
        <v>4758</v>
      </c>
      <c r="B922" s="445">
        <v>42610</v>
      </c>
      <c r="C922" s="446" t="s">
        <v>4954</v>
      </c>
      <c r="D922" s="446" t="s">
        <v>5106</v>
      </c>
      <c r="E922" s="446" t="s">
        <v>5107</v>
      </c>
      <c r="F922" s="446" t="s">
        <v>3685</v>
      </c>
      <c r="G922" s="447">
        <v>7</v>
      </c>
      <c r="H922" s="448">
        <v>7</v>
      </c>
      <c r="I922" s="447"/>
      <c r="J922" s="447" t="s">
        <v>4366</v>
      </c>
      <c r="K922" s="447">
        <v>12</v>
      </c>
      <c r="L922" s="449">
        <v>4</v>
      </c>
      <c r="M922" s="450">
        <v>2987</v>
      </c>
      <c r="N922" s="446" t="s">
        <v>5129</v>
      </c>
      <c r="O922" s="447">
        <v>1</v>
      </c>
      <c r="P922" s="451" t="s">
        <v>4203</v>
      </c>
      <c r="Q922" s="452">
        <v>1.0093750000000001E-3</v>
      </c>
      <c r="R922" s="450">
        <v>1782</v>
      </c>
      <c r="S922" s="447" t="s">
        <v>625</v>
      </c>
      <c r="T922" s="453" t="s">
        <v>5585</v>
      </c>
      <c r="U922" s="454"/>
      <c r="V922" s="454"/>
      <c r="W922" s="455"/>
      <c r="X922" s="454"/>
      <c r="Y922" s="454"/>
      <c r="Z922" s="454"/>
      <c r="AA922" s="454"/>
      <c r="AB922" s="454"/>
      <c r="AC922" s="454"/>
      <c r="AD922" s="454"/>
      <c r="AE922" s="454"/>
      <c r="AF922" s="454"/>
      <c r="AG922" s="454"/>
      <c r="AH922" s="454"/>
      <c r="AI922" s="454"/>
      <c r="AJ922" s="454"/>
      <c r="AK922" s="454"/>
      <c r="AL922" s="454"/>
      <c r="AM922" s="454"/>
      <c r="AN922" s="454"/>
      <c r="AO922" s="454"/>
      <c r="AP922" s="454"/>
      <c r="AQ922" s="454"/>
      <c r="AR922" s="454"/>
      <c r="AS922" s="454"/>
      <c r="AT922" s="454"/>
      <c r="AU922" s="454"/>
      <c r="AV922" s="454"/>
      <c r="AW922" s="454"/>
      <c r="AX922" s="454"/>
      <c r="AY922" s="486">
        <f t="shared" si="60"/>
        <v>1782</v>
      </c>
      <c r="AZ922" s="487">
        <f t="shared" si="61"/>
        <v>1</v>
      </c>
      <c r="BA922" s="454"/>
      <c r="BB922" s="454"/>
      <c r="BC922" s="454"/>
      <c r="BD922" s="454"/>
      <c r="BE922" s="454"/>
      <c r="BF922" s="454"/>
      <c r="BG922" s="454"/>
      <c r="BH922" s="454"/>
      <c r="BI922" s="454"/>
      <c r="BJ922" s="454"/>
      <c r="BK922" s="454"/>
      <c r="BL922" s="454"/>
      <c r="BM922" s="454"/>
      <c r="BN922" s="454"/>
      <c r="BO922" s="454"/>
      <c r="BP922" s="454"/>
      <c r="BQ922" s="454"/>
      <c r="BR922" s="454"/>
      <c r="BS922" s="454"/>
      <c r="BT922" s="454"/>
      <c r="BU922" s="454"/>
      <c r="BV922" s="454"/>
      <c r="BW922" s="454"/>
      <c r="BX922" s="454"/>
      <c r="BY922" s="454"/>
      <c r="BZ922" s="454"/>
      <c r="CA922" s="454"/>
      <c r="CB922" s="454"/>
      <c r="CC922" s="454"/>
      <c r="CD922" s="454"/>
      <c r="CE922" s="454"/>
      <c r="CF922" s="454"/>
      <c r="CG922" s="454"/>
      <c r="CH922" s="456"/>
      <c r="CI922" s="454"/>
      <c r="CJ922" s="454"/>
      <c r="CK922" s="454"/>
      <c r="CL922" s="454"/>
    </row>
    <row r="923" spans="1:90" s="461" customFormat="1" ht="12" customHeight="1" x14ac:dyDescent="0.15">
      <c r="A923" s="522" t="s">
        <v>1557</v>
      </c>
      <c r="B923" s="467">
        <v>42610</v>
      </c>
      <c r="C923" s="468" t="s">
        <v>4250</v>
      </c>
      <c r="D923" s="468" t="s">
        <v>4247</v>
      </c>
      <c r="E923" s="468" t="s">
        <v>4248</v>
      </c>
      <c r="F923" s="468" t="s">
        <v>5561</v>
      </c>
      <c r="G923" s="466">
        <v>5</v>
      </c>
      <c r="H923" s="465">
        <v>6</v>
      </c>
      <c r="I923" s="466"/>
      <c r="J923" s="466"/>
      <c r="K923" s="466">
        <v>8</v>
      </c>
      <c r="L923" s="525">
        <v>12</v>
      </c>
      <c r="M923" s="463">
        <v>5300</v>
      </c>
      <c r="N923" s="468" t="s">
        <v>197</v>
      </c>
      <c r="O923" s="466">
        <v>7</v>
      </c>
      <c r="P923" s="523">
        <v>-9.5</v>
      </c>
      <c r="Q923" s="462">
        <v>8.495370370370371E-4</v>
      </c>
      <c r="R923" s="463">
        <v>0</v>
      </c>
      <c r="S923" s="466"/>
      <c r="T923" s="639"/>
      <c r="W923" s="460"/>
      <c r="AY923" s="486" t="str">
        <f t="shared" ref="AY923:AY966" si="62">IF(S923="","",R923)</f>
        <v/>
      </c>
      <c r="AZ923" s="487" t="str">
        <f t="shared" ref="AZ923:AZ966" si="63">IF(F923="Pleasant Meadows","",IF(L923="","",IF(O923="--","",IF(O923=1,1,""))))</f>
        <v/>
      </c>
      <c r="CH923" s="459"/>
    </row>
    <row r="924" spans="1:90" s="461" customFormat="1" ht="12" customHeight="1" x14ac:dyDescent="0.15">
      <c r="A924" s="522" t="s">
        <v>2228</v>
      </c>
      <c r="B924" s="467">
        <v>42610</v>
      </c>
      <c r="C924" s="468" t="s">
        <v>5312</v>
      </c>
      <c r="D924" s="468" t="s">
        <v>5313</v>
      </c>
      <c r="E924" s="468" t="s">
        <v>4600</v>
      </c>
      <c r="F924" s="468" t="s">
        <v>2377</v>
      </c>
      <c r="G924" s="466">
        <v>4</v>
      </c>
      <c r="H924" s="465">
        <v>5</v>
      </c>
      <c r="I924" s="466"/>
      <c r="J924" s="466"/>
      <c r="K924" s="466">
        <v>6</v>
      </c>
      <c r="L924" s="525">
        <f>8/5</f>
        <v>1.6</v>
      </c>
      <c r="M924" s="463">
        <v>6100</v>
      </c>
      <c r="N924" s="468" t="s">
        <v>4897</v>
      </c>
      <c r="O924" s="466">
        <v>6</v>
      </c>
      <c r="P924" s="523">
        <v>-12</v>
      </c>
      <c r="Q924" s="462">
        <v>7.1990740740740739E-4</v>
      </c>
      <c r="R924" s="463">
        <v>61</v>
      </c>
      <c r="S924" s="466"/>
      <c r="T924" s="639" t="s">
        <v>4253</v>
      </c>
      <c r="W924" s="460"/>
      <c r="AY924" s="486" t="str">
        <f t="shared" si="62"/>
        <v/>
      </c>
      <c r="AZ924" s="487" t="str">
        <f t="shared" si="63"/>
        <v/>
      </c>
      <c r="CH924" s="459"/>
    </row>
    <row r="925" spans="1:90" s="461" customFormat="1" ht="12" customHeight="1" x14ac:dyDescent="0.15">
      <c r="A925" s="522" t="s">
        <v>4548</v>
      </c>
      <c r="B925" s="467">
        <v>42610</v>
      </c>
      <c r="C925" s="468" t="s">
        <v>4658</v>
      </c>
      <c r="D925" s="468" t="s">
        <v>4657</v>
      </c>
      <c r="E925" s="468" t="s">
        <v>5375</v>
      </c>
      <c r="F925" s="468" t="s">
        <v>2377</v>
      </c>
      <c r="G925" s="466">
        <v>8</v>
      </c>
      <c r="H925" s="465">
        <v>8</v>
      </c>
      <c r="I925" s="466"/>
      <c r="J925" s="466"/>
      <c r="K925" s="466">
        <v>7</v>
      </c>
      <c r="L925" s="525">
        <v>12</v>
      </c>
      <c r="M925" s="463">
        <v>6300</v>
      </c>
      <c r="N925" s="468" t="s">
        <v>197</v>
      </c>
      <c r="O925" s="466">
        <v>7</v>
      </c>
      <c r="P925" s="523">
        <v>-37.25</v>
      </c>
      <c r="Q925" s="462">
        <v>1.1898148148148148E-3</v>
      </c>
      <c r="R925" s="463">
        <v>63</v>
      </c>
      <c r="S925" s="466"/>
      <c r="T925" s="639"/>
      <c r="W925" s="460"/>
      <c r="AY925" s="486" t="str">
        <f t="shared" si="62"/>
        <v/>
      </c>
      <c r="AZ925" s="487" t="str">
        <f t="shared" si="63"/>
        <v/>
      </c>
      <c r="CH925" s="459"/>
    </row>
    <row r="926" spans="1:90" s="461" customFormat="1" ht="12" customHeight="1" x14ac:dyDescent="0.15">
      <c r="A926" s="522" t="s">
        <v>3645</v>
      </c>
      <c r="B926" s="467">
        <v>42611</v>
      </c>
      <c r="C926" s="468" t="s">
        <v>5044</v>
      </c>
      <c r="D926" s="468" t="s">
        <v>5045</v>
      </c>
      <c r="E926" s="468" t="s">
        <v>5526</v>
      </c>
      <c r="F926" s="468" t="s">
        <v>4828</v>
      </c>
      <c r="G926" s="466">
        <v>7</v>
      </c>
      <c r="H926" s="465">
        <v>6.5</v>
      </c>
      <c r="I926" s="466" t="s">
        <v>1360</v>
      </c>
      <c r="J926" s="466"/>
      <c r="K926" s="466">
        <v>10</v>
      </c>
      <c r="L926" s="525">
        <v>12</v>
      </c>
      <c r="M926" s="463">
        <v>10000</v>
      </c>
      <c r="N926" s="468" t="s">
        <v>5190</v>
      </c>
      <c r="O926" s="466">
        <v>2</v>
      </c>
      <c r="P926" s="523">
        <v>-0.5</v>
      </c>
      <c r="Q926" s="462">
        <v>9.1145833333333324E-4</v>
      </c>
      <c r="R926" s="463">
        <v>2000</v>
      </c>
      <c r="S926" s="466"/>
      <c r="T926" s="524"/>
      <c r="W926" s="460"/>
      <c r="AY926" s="486" t="str">
        <f t="shared" si="62"/>
        <v/>
      </c>
      <c r="AZ926" s="487" t="str">
        <f t="shared" si="63"/>
        <v/>
      </c>
      <c r="CH926" s="459"/>
    </row>
    <row r="927" spans="1:90" s="461" customFormat="1" ht="12" customHeight="1" x14ac:dyDescent="0.15">
      <c r="A927" s="522" t="s">
        <v>4391</v>
      </c>
      <c r="B927" s="467">
        <v>42613</v>
      </c>
      <c r="C927" s="468" t="s">
        <v>5248</v>
      </c>
      <c r="D927" s="468" t="s">
        <v>5249</v>
      </c>
      <c r="E927" s="468" t="s">
        <v>5564</v>
      </c>
      <c r="F927" s="468" t="s">
        <v>5311</v>
      </c>
      <c r="G927" s="466">
        <v>3</v>
      </c>
      <c r="H927" s="465">
        <v>5.5</v>
      </c>
      <c r="I927" s="466" t="s">
        <v>3730</v>
      </c>
      <c r="J927" s="466"/>
      <c r="K927" s="466">
        <v>10</v>
      </c>
      <c r="L927" s="525">
        <v>3</v>
      </c>
      <c r="M927" s="463">
        <v>45000</v>
      </c>
      <c r="N927" s="468" t="s">
        <v>4945</v>
      </c>
      <c r="O927" s="466">
        <v>8</v>
      </c>
      <c r="P927" s="523">
        <v>-5.25</v>
      </c>
      <c r="Q927" s="462">
        <v>7.2986111111111114E-4</v>
      </c>
      <c r="R927" s="463">
        <v>180</v>
      </c>
      <c r="S927" s="466"/>
      <c r="T927" s="524" t="s">
        <v>3714</v>
      </c>
      <c r="W927" s="460"/>
      <c r="AY927" s="486" t="str">
        <f t="shared" si="62"/>
        <v/>
      </c>
      <c r="AZ927" s="487" t="str">
        <f t="shared" si="63"/>
        <v/>
      </c>
      <c r="CH927" s="459"/>
    </row>
    <row r="928" spans="1:90" s="461" customFormat="1" ht="12" customHeight="1" x14ac:dyDescent="0.15">
      <c r="A928" s="522" t="s">
        <v>2276</v>
      </c>
      <c r="B928" s="467">
        <v>42614</v>
      </c>
      <c r="C928" s="468" t="s">
        <v>1786</v>
      </c>
      <c r="D928" s="468" t="s">
        <v>4257</v>
      </c>
      <c r="E928" s="468" t="s">
        <v>4741</v>
      </c>
      <c r="F928" s="468" t="s">
        <v>2376</v>
      </c>
      <c r="G928" s="466">
        <v>2</v>
      </c>
      <c r="H928" s="465">
        <v>8.3000000000000007</v>
      </c>
      <c r="I928" s="466" t="s">
        <v>3730</v>
      </c>
      <c r="J928" s="466"/>
      <c r="K928" s="466">
        <v>12</v>
      </c>
      <c r="L928" s="525">
        <v>2</v>
      </c>
      <c r="M928" s="463">
        <v>17100</v>
      </c>
      <c r="N928" s="468" t="s">
        <v>4305</v>
      </c>
      <c r="O928" s="466">
        <v>5</v>
      </c>
      <c r="P928" s="523">
        <v>-5.25</v>
      </c>
      <c r="Q928" s="462">
        <v>1.1572916666666667E-3</v>
      </c>
      <c r="R928" s="463">
        <v>513</v>
      </c>
      <c r="S928" s="466"/>
      <c r="T928" s="524" t="s">
        <v>5616</v>
      </c>
      <c r="W928" s="460"/>
      <c r="AY928" s="486" t="str">
        <f t="shared" si="62"/>
        <v/>
      </c>
      <c r="AZ928" s="487" t="str">
        <f t="shared" si="63"/>
        <v/>
      </c>
      <c r="CH928" s="459"/>
    </row>
    <row r="929" spans="1:86" s="461" customFormat="1" ht="12" customHeight="1" x14ac:dyDescent="0.15">
      <c r="A929" s="522" t="s">
        <v>2475</v>
      </c>
      <c r="B929" s="467">
        <v>42615</v>
      </c>
      <c r="C929" s="468" t="s">
        <v>5176</v>
      </c>
      <c r="D929" s="468" t="s">
        <v>4772</v>
      </c>
      <c r="E929" s="468" t="s">
        <v>4600</v>
      </c>
      <c r="F929" s="468" t="s">
        <v>1205</v>
      </c>
      <c r="G929" s="466">
        <v>1</v>
      </c>
      <c r="H929" s="465">
        <v>6.5</v>
      </c>
      <c r="I929" s="466"/>
      <c r="J929" s="466"/>
      <c r="K929" s="466">
        <v>6</v>
      </c>
      <c r="L929" s="525">
        <v>5</v>
      </c>
      <c r="M929" s="463">
        <v>23000</v>
      </c>
      <c r="N929" s="468" t="s">
        <v>5592</v>
      </c>
      <c r="O929" s="466">
        <v>6</v>
      </c>
      <c r="P929" s="523">
        <v>-20.25</v>
      </c>
      <c r="Q929" s="462">
        <v>9.1469907407407396E-4</v>
      </c>
      <c r="R929" s="463">
        <v>460</v>
      </c>
      <c r="S929" s="466"/>
      <c r="T929" s="524"/>
      <c r="W929" s="460"/>
      <c r="AY929" s="486" t="str">
        <f t="shared" si="62"/>
        <v/>
      </c>
      <c r="AZ929" s="487" t="str">
        <f t="shared" si="63"/>
        <v/>
      </c>
      <c r="CH929" s="459"/>
    </row>
    <row r="930" spans="1:86" s="461" customFormat="1" ht="12" customHeight="1" x14ac:dyDescent="0.15">
      <c r="A930" s="522" t="s">
        <v>3333</v>
      </c>
      <c r="B930" s="467">
        <v>42615</v>
      </c>
      <c r="C930" s="468" t="s">
        <v>4956</v>
      </c>
      <c r="D930" s="468" t="s">
        <v>4957</v>
      </c>
      <c r="E930" s="468" t="s">
        <v>5604</v>
      </c>
      <c r="F930" s="468" t="s">
        <v>5049</v>
      </c>
      <c r="G930" s="466">
        <v>6</v>
      </c>
      <c r="H930" s="465">
        <v>7</v>
      </c>
      <c r="I930" s="466" t="s">
        <v>1360</v>
      </c>
      <c r="J930" s="466"/>
      <c r="K930" s="466">
        <v>8</v>
      </c>
      <c r="L930" s="525">
        <f>7/5</f>
        <v>1.4</v>
      </c>
      <c r="M930" s="463">
        <v>15488</v>
      </c>
      <c r="N930" s="468" t="s">
        <v>4665</v>
      </c>
      <c r="O930" s="466">
        <v>3</v>
      </c>
      <c r="P930" s="523">
        <v>3.75</v>
      </c>
      <c r="Q930" s="462">
        <v>9.8344907407407387E-4</v>
      </c>
      <c r="R930" s="463">
        <v>2048</v>
      </c>
      <c r="S930" s="466"/>
      <c r="T930" s="639" t="s">
        <v>5634</v>
      </c>
      <c r="W930" s="460"/>
      <c r="AY930" s="486" t="str">
        <f t="shared" si="62"/>
        <v/>
      </c>
      <c r="AZ930" s="487" t="str">
        <f t="shared" si="63"/>
        <v/>
      </c>
      <c r="CH930" s="459"/>
    </row>
    <row r="931" spans="1:86" s="461" customFormat="1" ht="12" customHeight="1" x14ac:dyDescent="0.15">
      <c r="A931" s="522" t="s">
        <v>3327</v>
      </c>
      <c r="B931" s="467">
        <v>42615</v>
      </c>
      <c r="C931" s="468" t="s">
        <v>3330</v>
      </c>
      <c r="D931" s="468" t="s">
        <v>3497</v>
      </c>
      <c r="E931" s="468" t="s">
        <v>5521</v>
      </c>
      <c r="F931" s="468" t="s">
        <v>3686</v>
      </c>
      <c r="G931" s="466">
        <v>1</v>
      </c>
      <c r="H931" s="465">
        <v>5</v>
      </c>
      <c r="I931" s="466"/>
      <c r="J931" s="466"/>
      <c r="K931" s="466">
        <v>8</v>
      </c>
      <c r="L931" s="601">
        <f>9/2</f>
        <v>4.5</v>
      </c>
      <c r="M931" s="463">
        <v>4756</v>
      </c>
      <c r="N931" s="468" t="s">
        <v>5422</v>
      </c>
      <c r="O931" s="466">
        <v>5</v>
      </c>
      <c r="P931" s="523">
        <v>-6.5</v>
      </c>
      <c r="Q931" s="462">
        <v>7.0682870370370376E-4</v>
      </c>
      <c r="R931" s="463">
        <v>99</v>
      </c>
      <c r="S931" s="466" t="s">
        <v>625</v>
      </c>
      <c r="T931" s="639"/>
      <c r="W931" s="460"/>
      <c r="AY931" s="486">
        <f t="shared" si="62"/>
        <v>99</v>
      </c>
      <c r="AZ931" s="487" t="str">
        <f t="shared" si="63"/>
        <v/>
      </c>
      <c r="CH931" s="459"/>
    </row>
    <row r="932" spans="1:86" s="461" customFormat="1" ht="12" customHeight="1" x14ac:dyDescent="0.15">
      <c r="A932" s="522" t="s">
        <v>5340</v>
      </c>
      <c r="B932" s="467">
        <v>42615</v>
      </c>
      <c r="C932" s="468" t="s">
        <v>4429</v>
      </c>
      <c r="D932" s="468" t="s">
        <v>5476</v>
      </c>
      <c r="E932" s="468" t="s">
        <v>3848</v>
      </c>
      <c r="F932" s="468" t="s">
        <v>3686</v>
      </c>
      <c r="G932" s="466">
        <v>2</v>
      </c>
      <c r="H932" s="465">
        <v>7.5</v>
      </c>
      <c r="I932" s="466"/>
      <c r="J932" s="466"/>
      <c r="K932" s="466">
        <v>7</v>
      </c>
      <c r="L932" s="601">
        <v>5</v>
      </c>
      <c r="M932" s="463">
        <v>7938</v>
      </c>
      <c r="N932" s="468" t="s">
        <v>3653</v>
      </c>
      <c r="O932" s="466">
        <v>5</v>
      </c>
      <c r="P932" s="523">
        <v>-7.5</v>
      </c>
      <c r="Q932" s="462">
        <v>1.0577546296296296E-3</v>
      </c>
      <c r="R932" s="463">
        <v>99</v>
      </c>
      <c r="S932" s="466" t="s">
        <v>625</v>
      </c>
      <c r="T932" s="639"/>
      <c r="W932" s="460"/>
      <c r="AY932" s="486">
        <f t="shared" si="62"/>
        <v>99</v>
      </c>
      <c r="AZ932" s="487" t="str">
        <f t="shared" si="63"/>
        <v/>
      </c>
      <c r="CH932" s="459"/>
    </row>
    <row r="933" spans="1:86" s="461" customFormat="1" ht="12" customHeight="1" x14ac:dyDescent="0.15">
      <c r="A933" s="522" t="s">
        <v>1666</v>
      </c>
      <c r="B933" s="467">
        <v>42615</v>
      </c>
      <c r="C933" s="468" t="s">
        <v>4846</v>
      </c>
      <c r="D933" s="468" t="s">
        <v>4826</v>
      </c>
      <c r="E933" s="468" t="s">
        <v>4177</v>
      </c>
      <c r="F933" s="468" t="s">
        <v>5311</v>
      </c>
      <c r="G933" s="466">
        <v>9</v>
      </c>
      <c r="H933" s="465">
        <v>9</v>
      </c>
      <c r="I933" s="466"/>
      <c r="J933" s="466"/>
      <c r="K933" s="466">
        <v>5</v>
      </c>
      <c r="L933" s="525">
        <v>4</v>
      </c>
      <c r="M933" s="463">
        <v>100000</v>
      </c>
      <c r="N933" s="468" t="s">
        <v>5506</v>
      </c>
      <c r="O933" s="466">
        <v>2</v>
      </c>
      <c r="P933" s="523">
        <v>-5.25</v>
      </c>
      <c r="Q933" s="462">
        <v>1.2666666666666666E-3</v>
      </c>
      <c r="R933" s="463">
        <v>20000</v>
      </c>
      <c r="S933" s="466"/>
      <c r="T933" s="524"/>
      <c r="W933" s="460"/>
      <c r="AY933" s="486" t="str">
        <f t="shared" si="62"/>
        <v/>
      </c>
      <c r="AZ933" s="487" t="str">
        <f t="shared" si="63"/>
        <v/>
      </c>
      <c r="CH933" s="459"/>
    </row>
    <row r="934" spans="1:86" s="461" customFormat="1" ht="12" customHeight="1" x14ac:dyDescent="0.15">
      <c r="A934" s="522" t="s">
        <v>3838</v>
      </c>
      <c r="B934" s="467">
        <v>42615</v>
      </c>
      <c r="C934" s="468" t="s">
        <v>3841</v>
      </c>
      <c r="D934" s="468" t="s">
        <v>3837</v>
      </c>
      <c r="E934" s="468" t="s">
        <v>3848</v>
      </c>
      <c r="F934" s="468" t="s">
        <v>3686</v>
      </c>
      <c r="G934" s="466">
        <v>3</v>
      </c>
      <c r="H934" s="465">
        <v>8</v>
      </c>
      <c r="I934" s="466"/>
      <c r="J934" s="466"/>
      <c r="K934" s="466">
        <v>8</v>
      </c>
      <c r="L934" s="525">
        <f>9/2</f>
        <v>4.5</v>
      </c>
      <c r="M934" s="463">
        <v>5620</v>
      </c>
      <c r="N934" s="468" t="s">
        <v>5422</v>
      </c>
      <c r="O934" s="466">
        <v>2</v>
      </c>
      <c r="P934" s="555">
        <v>-0.5</v>
      </c>
      <c r="Q934" s="462">
        <v>1.1333333333333334E-3</v>
      </c>
      <c r="R934" s="463">
        <v>1190</v>
      </c>
      <c r="S934" s="466" t="s">
        <v>625</v>
      </c>
      <c r="T934" s="639"/>
      <c r="W934" s="460"/>
      <c r="AY934" s="486">
        <f t="shared" si="62"/>
        <v>1190</v>
      </c>
      <c r="AZ934" s="487" t="str">
        <f t="shared" si="63"/>
        <v/>
      </c>
      <c r="CH934" s="459"/>
    </row>
    <row r="935" spans="1:86" s="461" customFormat="1" ht="12" customHeight="1" x14ac:dyDescent="0.15">
      <c r="A935" s="522" t="s">
        <v>2177</v>
      </c>
      <c r="B935" s="467">
        <v>42615</v>
      </c>
      <c r="C935" s="468" t="s">
        <v>1805</v>
      </c>
      <c r="D935" s="468" t="s">
        <v>3855</v>
      </c>
      <c r="E935" s="468" t="s">
        <v>5175</v>
      </c>
      <c r="F935" s="468" t="s">
        <v>2376</v>
      </c>
      <c r="G935" s="466">
        <v>3</v>
      </c>
      <c r="H935" s="465">
        <v>8.3000000000000007</v>
      </c>
      <c r="I935" s="466" t="s">
        <v>3730</v>
      </c>
      <c r="J935" s="466"/>
      <c r="K935" s="466">
        <v>10</v>
      </c>
      <c r="L935" s="525">
        <v>6</v>
      </c>
      <c r="M935" s="463">
        <v>29500</v>
      </c>
      <c r="N935" s="468" t="s">
        <v>4296</v>
      </c>
      <c r="O935" s="466">
        <v>4</v>
      </c>
      <c r="P935" s="523">
        <v>-6</v>
      </c>
      <c r="Q935" s="462">
        <v>1.1405092592592593E-3</v>
      </c>
      <c r="R935" s="463">
        <v>1770</v>
      </c>
      <c r="S935" s="466"/>
      <c r="T935" s="524"/>
      <c r="W935" s="460"/>
      <c r="AY935" s="486" t="str">
        <f t="shared" si="62"/>
        <v/>
      </c>
      <c r="AZ935" s="487" t="str">
        <f t="shared" si="63"/>
        <v/>
      </c>
      <c r="CH935" s="459"/>
    </row>
    <row r="936" spans="1:86" s="469" customFormat="1" ht="12" customHeight="1" x14ac:dyDescent="0.15">
      <c r="A936" s="471" t="s">
        <v>1710</v>
      </c>
      <c r="B936" s="472">
        <v>42615</v>
      </c>
      <c r="C936" s="471" t="s">
        <v>5462</v>
      </c>
      <c r="D936" s="471" t="s">
        <v>5463</v>
      </c>
      <c r="E936" s="471" t="s">
        <v>4949</v>
      </c>
      <c r="F936" s="471" t="s">
        <v>2376</v>
      </c>
      <c r="G936" s="473">
        <v>5</v>
      </c>
      <c r="H936" s="474">
        <v>5.5</v>
      </c>
      <c r="I936" s="475"/>
      <c r="J936" s="475"/>
      <c r="K936" s="473">
        <v>7</v>
      </c>
      <c r="L936" s="458">
        <v>15</v>
      </c>
      <c r="M936" s="476">
        <v>13300</v>
      </c>
      <c r="N936" s="471" t="s">
        <v>4924</v>
      </c>
      <c r="O936" s="637" t="s">
        <v>431</v>
      </c>
      <c r="P936" s="478" t="s">
        <v>431</v>
      </c>
      <c r="Q936" s="479" t="s">
        <v>431</v>
      </c>
      <c r="R936" s="480" t="s">
        <v>431</v>
      </c>
      <c r="S936" s="477"/>
      <c r="T936" s="481" t="s">
        <v>3885</v>
      </c>
      <c r="U936" s="482"/>
      <c r="V936" s="482"/>
      <c r="W936" s="483"/>
      <c r="X936" s="482"/>
      <c r="Y936" s="482"/>
      <c r="Z936" s="482"/>
      <c r="AA936" s="482"/>
      <c r="AB936" s="482"/>
      <c r="AC936" s="482"/>
      <c r="AD936" s="482"/>
      <c r="AE936" s="482"/>
      <c r="AF936" s="482"/>
      <c r="AG936" s="482"/>
      <c r="AH936" s="482"/>
      <c r="AI936" s="482"/>
      <c r="AJ936" s="482"/>
      <c r="AK936" s="482"/>
      <c r="AL936" s="482"/>
      <c r="AM936" s="482"/>
      <c r="AN936" s="482"/>
      <c r="AO936" s="482"/>
      <c r="AP936" s="482"/>
      <c r="AQ936" s="482"/>
      <c r="AR936" s="482"/>
      <c r="AS936" s="482"/>
      <c r="AT936" s="482"/>
      <c r="AU936" s="482"/>
      <c r="AV936" s="482"/>
      <c r="AW936" s="482"/>
      <c r="AX936" s="482"/>
      <c r="AY936" s="486" t="str">
        <f t="shared" si="62"/>
        <v/>
      </c>
      <c r="AZ936" s="487" t="str">
        <f t="shared" si="63"/>
        <v/>
      </c>
      <c r="BA936" s="482"/>
      <c r="BB936" s="482"/>
      <c r="BC936" s="482"/>
      <c r="BD936" s="482"/>
      <c r="BE936" s="482"/>
      <c r="BF936" s="482"/>
      <c r="BG936" s="482"/>
      <c r="BH936" s="482"/>
      <c r="BI936" s="482"/>
      <c r="BJ936" s="482"/>
      <c r="BK936" s="482"/>
      <c r="BL936" s="482"/>
      <c r="BM936" s="482"/>
      <c r="BN936" s="482"/>
      <c r="BO936" s="482"/>
      <c r="BP936" s="482"/>
      <c r="BQ936" s="482"/>
      <c r="BR936" s="482"/>
      <c r="BS936" s="482"/>
      <c r="BT936" s="482"/>
      <c r="BU936" s="482"/>
      <c r="BV936" s="482"/>
      <c r="BW936" s="482"/>
      <c r="BX936" s="482"/>
      <c r="BY936" s="482"/>
      <c r="BZ936" s="482"/>
      <c r="CA936" s="482"/>
      <c r="CB936" s="482"/>
      <c r="CC936" s="482"/>
      <c r="CD936" s="482"/>
      <c r="CE936" s="482"/>
      <c r="CF936" s="482"/>
      <c r="CG936" s="482"/>
      <c r="CH936" s="484"/>
    </row>
    <row r="937" spans="1:86" s="461" customFormat="1" ht="12" customHeight="1" x14ac:dyDescent="0.15">
      <c r="A937" s="522" t="s">
        <v>3426</v>
      </c>
      <c r="B937" s="467">
        <v>42615</v>
      </c>
      <c r="C937" s="468" t="s">
        <v>3655</v>
      </c>
      <c r="D937" s="468" t="s">
        <v>3298</v>
      </c>
      <c r="E937" s="468" t="s">
        <v>3699</v>
      </c>
      <c r="F937" s="468" t="s">
        <v>3686</v>
      </c>
      <c r="G937" s="466">
        <v>8</v>
      </c>
      <c r="H937" s="465">
        <v>6.5</v>
      </c>
      <c r="I937" s="466"/>
      <c r="J937" s="466"/>
      <c r="K937" s="466">
        <v>14</v>
      </c>
      <c r="L937" s="525">
        <v>12</v>
      </c>
      <c r="M937" s="463">
        <v>4853</v>
      </c>
      <c r="N937" s="468" t="s">
        <v>5422</v>
      </c>
      <c r="O937" s="466">
        <v>9</v>
      </c>
      <c r="P937" s="523">
        <v>-17.5</v>
      </c>
      <c r="Q937" s="462">
        <v>8.9745370370370369E-4</v>
      </c>
      <c r="R937" s="463">
        <v>99</v>
      </c>
      <c r="S937" s="466" t="s">
        <v>625</v>
      </c>
      <c r="T937" s="639"/>
      <c r="W937" s="460"/>
      <c r="AY937" s="486">
        <f t="shared" si="62"/>
        <v>99</v>
      </c>
      <c r="AZ937" s="487" t="str">
        <f t="shared" si="63"/>
        <v/>
      </c>
      <c r="CH937" s="459"/>
    </row>
    <row r="938" spans="1:86" s="461" customFormat="1" ht="12" customHeight="1" x14ac:dyDescent="0.15">
      <c r="A938" s="522" t="s">
        <v>4174</v>
      </c>
      <c r="B938" s="467">
        <v>42615</v>
      </c>
      <c r="C938" s="468" t="s">
        <v>5597</v>
      </c>
      <c r="D938" s="468" t="s">
        <v>5598</v>
      </c>
      <c r="E938" s="468" t="s">
        <v>3698</v>
      </c>
      <c r="F938" s="468" t="s">
        <v>3686</v>
      </c>
      <c r="G938" s="466">
        <v>8</v>
      </c>
      <c r="H938" s="465">
        <v>6.5</v>
      </c>
      <c r="I938" s="466"/>
      <c r="J938" s="466"/>
      <c r="K938" s="466">
        <v>14</v>
      </c>
      <c r="L938" s="525">
        <v>30</v>
      </c>
      <c r="M938" s="463">
        <v>4853</v>
      </c>
      <c r="N938" s="468" t="s">
        <v>5422</v>
      </c>
      <c r="O938" s="466">
        <v>10</v>
      </c>
      <c r="P938" s="523">
        <v>-21</v>
      </c>
      <c r="Q938" s="462">
        <v>8.9745370370370369E-4</v>
      </c>
      <c r="R938" s="463">
        <v>99</v>
      </c>
      <c r="S938" s="466" t="s">
        <v>625</v>
      </c>
      <c r="T938" s="639"/>
      <c r="W938" s="460"/>
      <c r="AY938" s="486">
        <f t="shared" si="62"/>
        <v>99</v>
      </c>
      <c r="AZ938" s="487" t="str">
        <f t="shared" si="63"/>
        <v/>
      </c>
      <c r="CH938" s="459"/>
    </row>
    <row r="939" spans="1:86" s="461" customFormat="1" ht="12" customHeight="1" x14ac:dyDescent="0.15">
      <c r="A939" s="522" t="s">
        <v>1529</v>
      </c>
      <c r="B939" s="467">
        <v>42615</v>
      </c>
      <c r="C939" s="468" t="s">
        <v>5565</v>
      </c>
      <c r="D939" s="468" t="s">
        <v>5566</v>
      </c>
      <c r="E939" s="468" t="s">
        <v>5567</v>
      </c>
      <c r="F939" s="468" t="s">
        <v>2376</v>
      </c>
      <c r="G939" s="466">
        <v>6</v>
      </c>
      <c r="H939" s="465">
        <v>6</v>
      </c>
      <c r="I939" s="466"/>
      <c r="J939" s="466"/>
      <c r="K939" s="466">
        <v>11</v>
      </c>
      <c r="L939" s="525">
        <v>8</v>
      </c>
      <c r="M939" s="463">
        <v>30400</v>
      </c>
      <c r="N939" s="468" t="s">
        <v>4542</v>
      </c>
      <c r="O939" s="466">
        <v>6</v>
      </c>
      <c r="P939" s="523">
        <v>-4.25</v>
      </c>
      <c r="Q939" s="462">
        <v>8.1782407407407411E-4</v>
      </c>
      <c r="R939" s="463">
        <v>0</v>
      </c>
      <c r="S939" s="466"/>
      <c r="T939" s="524"/>
      <c r="W939" s="460"/>
      <c r="AY939" s="486" t="str">
        <f t="shared" si="62"/>
        <v/>
      </c>
      <c r="AZ939" s="487" t="str">
        <f t="shared" si="63"/>
        <v/>
      </c>
      <c r="CH939" s="459"/>
    </row>
    <row r="940" spans="1:86" s="461" customFormat="1" ht="12" customHeight="1" x14ac:dyDescent="0.15">
      <c r="A940" s="522" t="s">
        <v>1294</v>
      </c>
      <c r="B940" s="467">
        <v>42615</v>
      </c>
      <c r="C940" s="468" t="s">
        <v>5586</v>
      </c>
      <c r="D940" s="468" t="s">
        <v>5587</v>
      </c>
      <c r="E940" s="468" t="s">
        <v>5588</v>
      </c>
      <c r="F940" s="468" t="s">
        <v>5589</v>
      </c>
      <c r="G940" s="466">
        <v>4</v>
      </c>
      <c r="H940" s="465">
        <v>6.5</v>
      </c>
      <c r="I940" s="466"/>
      <c r="J940" s="466"/>
      <c r="K940" s="466">
        <v>8</v>
      </c>
      <c r="L940" s="525">
        <v>10</v>
      </c>
      <c r="M940" s="463">
        <v>22000</v>
      </c>
      <c r="N940" s="468" t="s">
        <v>4720</v>
      </c>
      <c r="O940" s="466">
        <v>8</v>
      </c>
      <c r="P940" s="523">
        <v>-22.25</v>
      </c>
      <c r="Q940" s="462">
        <v>8.7592592592592594E-4</v>
      </c>
      <c r="R940" s="463">
        <v>220</v>
      </c>
      <c r="S940" s="466"/>
      <c r="T940" s="524"/>
      <c r="W940" s="460"/>
      <c r="AY940" s="486" t="str">
        <f t="shared" si="62"/>
        <v/>
      </c>
      <c r="AZ940" s="487" t="str">
        <f t="shared" si="63"/>
        <v/>
      </c>
      <c r="CH940" s="459"/>
    </row>
    <row r="941" spans="1:86" s="461" customFormat="1" ht="12" customHeight="1" x14ac:dyDescent="0.15">
      <c r="A941" s="522" t="s">
        <v>3340</v>
      </c>
      <c r="B941" s="467">
        <v>42616</v>
      </c>
      <c r="C941" s="468" t="s">
        <v>3704</v>
      </c>
      <c r="D941" s="468" t="s">
        <v>3705</v>
      </c>
      <c r="E941" s="468" t="s">
        <v>4775</v>
      </c>
      <c r="F941" s="468" t="s">
        <v>4171</v>
      </c>
      <c r="G941" s="466">
        <v>2</v>
      </c>
      <c r="H941" s="465">
        <v>6</v>
      </c>
      <c r="I941" s="466"/>
      <c r="J941" s="466"/>
      <c r="K941" s="466">
        <v>9</v>
      </c>
      <c r="L941" s="525">
        <v>5</v>
      </c>
      <c r="M941" s="463">
        <v>37000</v>
      </c>
      <c r="N941" s="468" t="s">
        <v>4211</v>
      </c>
      <c r="O941" s="466">
        <v>7</v>
      </c>
      <c r="P941" s="523">
        <v>-7</v>
      </c>
      <c r="Q941" s="462">
        <v>8.466435185185186E-4</v>
      </c>
      <c r="R941" s="463">
        <v>200</v>
      </c>
      <c r="S941" s="466"/>
      <c r="T941" s="639"/>
      <c r="W941" s="460"/>
      <c r="AY941" s="486" t="str">
        <f t="shared" si="62"/>
        <v/>
      </c>
      <c r="AZ941" s="487" t="str">
        <f t="shared" si="63"/>
        <v/>
      </c>
      <c r="CH941" s="459"/>
    </row>
    <row r="942" spans="1:86" s="461" customFormat="1" ht="12" customHeight="1" x14ac:dyDescent="0.15">
      <c r="A942" s="522" t="s">
        <v>3178</v>
      </c>
      <c r="B942" s="467">
        <v>42616</v>
      </c>
      <c r="C942" s="468" t="s">
        <v>2268</v>
      </c>
      <c r="D942" s="468" t="s">
        <v>4224</v>
      </c>
      <c r="E942" s="468" t="s">
        <v>5017</v>
      </c>
      <c r="F942" s="468" t="s">
        <v>4171</v>
      </c>
      <c r="G942" s="466">
        <v>3</v>
      </c>
      <c r="H942" s="465">
        <v>7</v>
      </c>
      <c r="I942" s="466"/>
      <c r="J942" s="466"/>
      <c r="K942" s="466">
        <v>9</v>
      </c>
      <c r="L942" s="525">
        <v>10</v>
      </c>
      <c r="M942" s="463">
        <v>42000</v>
      </c>
      <c r="N942" s="468" t="s">
        <v>4578</v>
      </c>
      <c r="O942" s="466">
        <v>6</v>
      </c>
      <c r="P942" s="523">
        <v>-4.5</v>
      </c>
      <c r="Q942" s="462">
        <v>9.8784722222222221E-4</v>
      </c>
      <c r="R942" s="463">
        <v>200</v>
      </c>
      <c r="S942" s="466"/>
      <c r="T942" s="639"/>
      <c r="W942" s="460"/>
      <c r="AY942" s="486" t="str">
        <f>IF(S942="","",R942)</f>
        <v/>
      </c>
      <c r="AZ942" s="487" t="str">
        <f>IF(F942="Pleasant Meadows","",IF(L942="","",IF(O942="--","",IF(O942=1,1,""))))</f>
        <v/>
      </c>
      <c r="CH942" s="459"/>
    </row>
    <row r="943" spans="1:86" s="461" customFormat="1" ht="12" customHeight="1" x14ac:dyDescent="0.15">
      <c r="A943" s="522" t="s">
        <v>2227</v>
      </c>
      <c r="B943" s="467">
        <v>42616</v>
      </c>
      <c r="C943" s="468" t="s">
        <v>3756</v>
      </c>
      <c r="D943" s="468" t="s">
        <v>3757</v>
      </c>
      <c r="E943" s="468" t="s">
        <v>4349</v>
      </c>
      <c r="F943" s="468" t="s">
        <v>4171</v>
      </c>
      <c r="G943" s="466">
        <v>3</v>
      </c>
      <c r="H943" s="465">
        <v>7</v>
      </c>
      <c r="I943" s="466"/>
      <c r="J943" s="466"/>
      <c r="K943" s="466">
        <v>9</v>
      </c>
      <c r="L943" s="525">
        <v>12</v>
      </c>
      <c r="M943" s="463">
        <v>42000</v>
      </c>
      <c r="N943" s="468" t="s">
        <v>4578</v>
      </c>
      <c r="O943" s="466">
        <v>8</v>
      </c>
      <c r="P943" s="523">
        <v>-6.5</v>
      </c>
      <c r="Q943" s="462">
        <v>9.8784722222222221E-4</v>
      </c>
      <c r="R943" s="463">
        <v>200</v>
      </c>
      <c r="S943" s="466"/>
      <c r="T943" s="639"/>
      <c r="W943" s="460"/>
      <c r="AY943" s="486" t="str">
        <f t="shared" si="62"/>
        <v/>
      </c>
      <c r="AZ943" s="487" t="str">
        <f t="shared" si="63"/>
        <v/>
      </c>
      <c r="CH943" s="459"/>
    </row>
    <row r="944" spans="1:86" s="461" customFormat="1" ht="12" customHeight="1" x14ac:dyDescent="0.15">
      <c r="A944" s="522" t="s">
        <v>3355</v>
      </c>
      <c r="B944" s="467">
        <v>42616</v>
      </c>
      <c r="C944" s="468" t="s">
        <v>3704</v>
      </c>
      <c r="D944" s="468" t="s">
        <v>3705</v>
      </c>
      <c r="E944" s="468" t="s">
        <v>4775</v>
      </c>
      <c r="F944" s="468" t="s">
        <v>4171</v>
      </c>
      <c r="G944" s="466">
        <v>4</v>
      </c>
      <c r="H944" s="465">
        <v>6</v>
      </c>
      <c r="I944" s="466"/>
      <c r="J944" s="466"/>
      <c r="K944" s="466">
        <v>12</v>
      </c>
      <c r="L944" s="525">
        <v>5</v>
      </c>
      <c r="M944" s="463">
        <v>37000</v>
      </c>
      <c r="N944" s="468" t="s">
        <v>4211</v>
      </c>
      <c r="O944" s="466">
        <v>3</v>
      </c>
      <c r="P944" s="523">
        <v>-12.25</v>
      </c>
      <c r="Q944" s="462">
        <v>8.3229166666666683E-4</v>
      </c>
      <c r="R944" s="463">
        <v>4070</v>
      </c>
      <c r="S944" s="466"/>
      <c r="T944" s="639" t="s">
        <v>5639</v>
      </c>
      <c r="W944" s="460"/>
      <c r="AY944" s="486" t="str">
        <f t="shared" si="62"/>
        <v/>
      </c>
      <c r="AZ944" s="487" t="str">
        <f t="shared" si="63"/>
        <v/>
      </c>
      <c r="CH944" s="459"/>
    </row>
    <row r="945" spans="1:86" s="461" customFormat="1" ht="12" customHeight="1" x14ac:dyDescent="0.15">
      <c r="A945" s="522" t="s">
        <v>3903</v>
      </c>
      <c r="B945" s="467">
        <v>42616</v>
      </c>
      <c r="C945" s="468" t="s">
        <v>3904</v>
      </c>
      <c r="D945" s="468" t="s">
        <v>3905</v>
      </c>
      <c r="E945" s="468" t="s">
        <v>4901</v>
      </c>
      <c r="F945" s="468" t="s">
        <v>3686</v>
      </c>
      <c r="G945" s="466">
        <v>1</v>
      </c>
      <c r="H945" s="465">
        <v>6</v>
      </c>
      <c r="I945" s="466"/>
      <c r="J945" s="466"/>
      <c r="K945" s="466">
        <v>9</v>
      </c>
      <c r="L945" s="525">
        <v>4</v>
      </c>
      <c r="M945" s="463">
        <v>5909</v>
      </c>
      <c r="N945" s="468" t="s">
        <v>3739</v>
      </c>
      <c r="O945" s="466">
        <v>5</v>
      </c>
      <c r="P945" s="523">
        <v>-5.25</v>
      </c>
      <c r="Q945" s="462">
        <v>8.3333333333333339E-4</v>
      </c>
      <c r="R945" s="463">
        <v>99</v>
      </c>
      <c r="S945" s="466" t="s">
        <v>625</v>
      </c>
      <c r="T945" s="639"/>
      <c r="W945" s="460"/>
      <c r="AY945" s="486">
        <f>IF(S945="","",R945)</f>
        <v>99</v>
      </c>
      <c r="AZ945" s="487" t="str">
        <f>IF(F945="Pleasant Meadows","",IF(L945="","",IF(O945="--","",IF(O945=1,1,""))))</f>
        <v/>
      </c>
      <c r="CH945" s="459"/>
    </row>
    <row r="946" spans="1:86" s="461" customFormat="1" ht="12" customHeight="1" x14ac:dyDescent="0.15">
      <c r="A946" s="522" t="s">
        <v>3328</v>
      </c>
      <c r="B946" s="467">
        <v>42616</v>
      </c>
      <c r="C946" s="468" t="s">
        <v>5477</v>
      </c>
      <c r="D946" s="468" t="s">
        <v>5478</v>
      </c>
      <c r="E946" s="468" t="s">
        <v>3698</v>
      </c>
      <c r="F946" s="468" t="s">
        <v>3686</v>
      </c>
      <c r="G946" s="466">
        <v>1</v>
      </c>
      <c r="H946" s="465">
        <v>6</v>
      </c>
      <c r="I946" s="466"/>
      <c r="J946" s="466"/>
      <c r="K946" s="466">
        <v>9</v>
      </c>
      <c r="L946" s="525">
        <f>9/2</f>
        <v>4.5</v>
      </c>
      <c r="M946" s="463">
        <v>5909</v>
      </c>
      <c r="N946" s="468" t="s">
        <v>3739</v>
      </c>
      <c r="O946" s="466">
        <v>7</v>
      </c>
      <c r="P946" s="523">
        <v>-8</v>
      </c>
      <c r="Q946" s="462">
        <v>8.3333333333333339E-4</v>
      </c>
      <c r="R946" s="463">
        <v>99</v>
      </c>
      <c r="S946" s="466" t="s">
        <v>625</v>
      </c>
      <c r="T946" s="639"/>
      <c r="W946" s="460"/>
      <c r="AY946" s="486">
        <f t="shared" si="62"/>
        <v>99</v>
      </c>
      <c r="AZ946" s="487" t="str">
        <f t="shared" si="63"/>
        <v/>
      </c>
      <c r="CH946" s="459"/>
    </row>
    <row r="947" spans="1:86" s="461" customFormat="1" ht="12" customHeight="1" x14ac:dyDescent="0.15">
      <c r="A947" s="522" t="s">
        <v>4656</v>
      </c>
      <c r="B947" s="467">
        <v>42616</v>
      </c>
      <c r="C947" s="468" t="s">
        <v>5421</v>
      </c>
      <c r="D947" s="468" t="s">
        <v>3192</v>
      </c>
      <c r="E947" s="468" t="s">
        <v>4069</v>
      </c>
      <c r="F947" s="468" t="s">
        <v>3686</v>
      </c>
      <c r="G947" s="466">
        <v>1</v>
      </c>
      <c r="H947" s="465">
        <v>6</v>
      </c>
      <c r="I947" s="466"/>
      <c r="J947" s="466"/>
      <c r="K947" s="466">
        <v>9</v>
      </c>
      <c r="L947" s="525">
        <v>8</v>
      </c>
      <c r="M947" s="463">
        <v>5909</v>
      </c>
      <c r="N947" s="468" t="s">
        <v>3739</v>
      </c>
      <c r="O947" s="466">
        <v>9</v>
      </c>
      <c r="P947" s="523">
        <v>-15.75</v>
      </c>
      <c r="Q947" s="462">
        <v>8.3333333333333339E-4</v>
      </c>
      <c r="R947" s="463">
        <v>99</v>
      </c>
      <c r="S947" s="466" t="s">
        <v>625</v>
      </c>
      <c r="T947" s="639"/>
      <c r="W947" s="460"/>
      <c r="AY947" s="486">
        <f t="shared" si="62"/>
        <v>99</v>
      </c>
      <c r="AZ947" s="487" t="str">
        <f t="shared" si="63"/>
        <v/>
      </c>
      <c r="CH947" s="459"/>
    </row>
    <row r="948" spans="1:86" s="469" customFormat="1" ht="12" customHeight="1" x14ac:dyDescent="0.15">
      <c r="A948" s="471" t="s">
        <v>1816</v>
      </c>
      <c r="B948" s="472">
        <v>42616</v>
      </c>
      <c r="C948" s="471" t="s">
        <v>3704</v>
      </c>
      <c r="D948" s="471" t="s">
        <v>3705</v>
      </c>
      <c r="E948" s="471" t="s">
        <v>3188</v>
      </c>
      <c r="F948" s="471" t="s">
        <v>4171</v>
      </c>
      <c r="G948" s="473">
        <v>5</v>
      </c>
      <c r="H948" s="474">
        <v>6</v>
      </c>
      <c r="I948" s="475"/>
      <c r="J948" s="475"/>
      <c r="K948" s="473">
        <v>7</v>
      </c>
      <c r="L948" s="485" t="s">
        <v>431</v>
      </c>
      <c r="M948" s="476">
        <v>100000</v>
      </c>
      <c r="N948" s="471" t="s">
        <v>5638</v>
      </c>
      <c r="O948" s="637" t="s">
        <v>431</v>
      </c>
      <c r="P948" s="478" t="s">
        <v>431</v>
      </c>
      <c r="Q948" s="479" t="s">
        <v>431</v>
      </c>
      <c r="R948" s="480" t="s">
        <v>431</v>
      </c>
      <c r="S948" s="477"/>
      <c r="T948" s="481" t="s">
        <v>4110</v>
      </c>
      <c r="U948" s="482"/>
      <c r="V948" s="482"/>
      <c r="W948" s="483"/>
      <c r="X948" s="482"/>
      <c r="Y948" s="482"/>
      <c r="Z948" s="482"/>
      <c r="AA948" s="482"/>
      <c r="AB948" s="482"/>
      <c r="AC948" s="482"/>
      <c r="AD948" s="482"/>
      <c r="AE948" s="482"/>
      <c r="AF948" s="482"/>
      <c r="AG948" s="482"/>
      <c r="AH948" s="482"/>
      <c r="AI948" s="482"/>
      <c r="AJ948" s="482"/>
      <c r="AK948" s="482"/>
      <c r="AL948" s="482"/>
      <c r="AM948" s="482"/>
      <c r="AN948" s="482"/>
      <c r="AO948" s="482"/>
      <c r="AP948" s="482"/>
      <c r="AQ948" s="482"/>
      <c r="AR948" s="482"/>
      <c r="AS948" s="482"/>
      <c r="AT948" s="482"/>
      <c r="AU948" s="482"/>
      <c r="AV948" s="482"/>
      <c r="AW948" s="482"/>
      <c r="AX948" s="482"/>
      <c r="AY948" s="486" t="str">
        <f t="shared" si="62"/>
        <v/>
      </c>
      <c r="AZ948" s="487" t="str">
        <f t="shared" si="63"/>
        <v/>
      </c>
      <c r="BA948" s="482"/>
      <c r="BB948" s="482"/>
      <c r="BC948" s="482"/>
      <c r="BD948" s="482"/>
      <c r="BE948" s="482"/>
      <c r="BF948" s="482"/>
      <c r="BG948" s="482"/>
      <c r="BH948" s="482"/>
      <c r="BI948" s="482"/>
      <c r="BJ948" s="482"/>
      <c r="BK948" s="482"/>
      <c r="BL948" s="482"/>
      <c r="BM948" s="482"/>
      <c r="BN948" s="482"/>
      <c r="BO948" s="482"/>
      <c r="BP948" s="482"/>
      <c r="BQ948" s="482"/>
      <c r="BR948" s="482"/>
      <c r="BS948" s="482"/>
      <c r="BT948" s="482"/>
      <c r="BU948" s="482"/>
      <c r="BV948" s="482"/>
      <c r="BW948" s="482"/>
      <c r="BX948" s="482"/>
      <c r="BY948" s="482"/>
      <c r="BZ948" s="482"/>
      <c r="CA948" s="482"/>
      <c r="CB948" s="482"/>
      <c r="CC948" s="482"/>
      <c r="CD948" s="482"/>
      <c r="CE948" s="482"/>
      <c r="CF948" s="482"/>
      <c r="CG948" s="482"/>
      <c r="CH948" s="484"/>
    </row>
    <row r="949" spans="1:86" s="469" customFormat="1" ht="12" customHeight="1" x14ac:dyDescent="0.15">
      <c r="A949" s="471" t="s">
        <v>3340</v>
      </c>
      <c r="B949" s="472">
        <v>42616</v>
      </c>
      <c r="C949" s="471" t="s">
        <v>3704</v>
      </c>
      <c r="D949" s="471" t="s">
        <v>3705</v>
      </c>
      <c r="E949" s="471" t="s">
        <v>3188</v>
      </c>
      <c r="F949" s="471" t="s">
        <v>4171</v>
      </c>
      <c r="G949" s="473">
        <v>6</v>
      </c>
      <c r="H949" s="474">
        <v>6</v>
      </c>
      <c r="I949" s="475"/>
      <c r="J949" s="475"/>
      <c r="K949" s="473">
        <v>7</v>
      </c>
      <c r="L949" s="485" t="s">
        <v>431</v>
      </c>
      <c r="M949" s="476">
        <v>100000</v>
      </c>
      <c r="N949" s="471" t="s">
        <v>5284</v>
      </c>
      <c r="O949" s="637" t="s">
        <v>431</v>
      </c>
      <c r="P949" s="478" t="s">
        <v>431</v>
      </c>
      <c r="Q949" s="479" t="s">
        <v>431</v>
      </c>
      <c r="R949" s="480" t="s">
        <v>431</v>
      </c>
      <c r="S949" s="477"/>
      <c r="T949" s="481" t="s">
        <v>4110</v>
      </c>
      <c r="U949" s="482"/>
      <c r="V949" s="482"/>
      <c r="W949" s="483"/>
      <c r="X949" s="482"/>
      <c r="Y949" s="482"/>
      <c r="Z949" s="482"/>
      <c r="AA949" s="482"/>
      <c r="AB949" s="482"/>
      <c r="AC949" s="482"/>
      <c r="AD949" s="482"/>
      <c r="AE949" s="482"/>
      <c r="AF949" s="482"/>
      <c r="AG949" s="482"/>
      <c r="AH949" s="482"/>
      <c r="AI949" s="482"/>
      <c r="AJ949" s="482"/>
      <c r="AK949" s="482"/>
      <c r="AL949" s="482"/>
      <c r="AM949" s="482"/>
      <c r="AN949" s="482"/>
      <c r="AO949" s="482"/>
      <c r="AP949" s="482"/>
      <c r="AQ949" s="482"/>
      <c r="AR949" s="482"/>
      <c r="AS949" s="482"/>
      <c r="AT949" s="482"/>
      <c r="AU949" s="482"/>
      <c r="AV949" s="482"/>
      <c r="AW949" s="482"/>
      <c r="AX949" s="482"/>
      <c r="AY949" s="486" t="str">
        <f t="shared" si="62"/>
        <v/>
      </c>
      <c r="AZ949" s="487" t="str">
        <f t="shared" si="63"/>
        <v/>
      </c>
      <c r="BA949" s="482"/>
      <c r="BB949" s="482"/>
      <c r="BC949" s="482"/>
      <c r="BD949" s="482"/>
      <c r="BE949" s="482"/>
      <c r="BF949" s="482"/>
      <c r="BG949" s="482"/>
      <c r="BH949" s="482"/>
      <c r="BI949" s="482"/>
      <c r="BJ949" s="482"/>
      <c r="BK949" s="482"/>
      <c r="BL949" s="482"/>
      <c r="BM949" s="482"/>
      <c r="BN949" s="482"/>
      <c r="BO949" s="482"/>
      <c r="BP949" s="482"/>
      <c r="BQ949" s="482"/>
      <c r="BR949" s="482"/>
      <c r="BS949" s="482"/>
      <c r="BT949" s="482"/>
      <c r="BU949" s="482"/>
      <c r="BV949" s="482"/>
      <c r="BW949" s="482"/>
      <c r="BX949" s="482"/>
      <c r="BY949" s="482"/>
      <c r="BZ949" s="482"/>
      <c r="CA949" s="482"/>
      <c r="CB949" s="482"/>
      <c r="CC949" s="482"/>
      <c r="CD949" s="482"/>
      <c r="CE949" s="482"/>
      <c r="CF949" s="482"/>
      <c r="CG949" s="482"/>
      <c r="CH949" s="484"/>
    </row>
    <row r="950" spans="1:86" s="469" customFormat="1" ht="12" customHeight="1" x14ac:dyDescent="0.15">
      <c r="A950" s="471" t="s">
        <v>2227</v>
      </c>
      <c r="B950" s="472">
        <v>42616</v>
      </c>
      <c r="C950" s="471" t="s">
        <v>3756</v>
      </c>
      <c r="D950" s="471" t="s">
        <v>3757</v>
      </c>
      <c r="E950" s="471" t="s">
        <v>3188</v>
      </c>
      <c r="F950" s="471" t="s">
        <v>4171</v>
      </c>
      <c r="G950" s="473">
        <v>6</v>
      </c>
      <c r="H950" s="474">
        <v>6</v>
      </c>
      <c r="I950" s="475"/>
      <c r="J950" s="475"/>
      <c r="K950" s="473">
        <v>7</v>
      </c>
      <c r="L950" s="485" t="s">
        <v>431</v>
      </c>
      <c r="M950" s="476">
        <v>100000</v>
      </c>
      <c r="N950" s="471" t="s">
        <v>5284</v>
      </c>
      <c r="O950" s="637" t="s">
        <v>431</v>
      </c>
      <c r="P950" s="478" t="s">
        <v>431</v>
      </c>
      <c r="Q950" s="479" t="s">
        <v>431</v>
      </c>
      <c r="R950" s="480" t="s">
        <v>431</v>
      </c>
      <c r="S950" s="477"/>
      <c r="T950" s="481" t="s">
        <v>4110</v>
      </c>
      <c r="U950" s="482"/>
      <c r="V950" s="482"/>
      <c r="W950" s="483"/>
      <c r="X950" s="482"/>
      <c r="Y950" s="482"/>
      <c r="Z950" s="482"/>
      <c r="AA950" s="482"/>
      <c r="AB950" s="482"/>
      <c r="AC950" s="482"/>
      <c r="AD950" s="482"/>
      <c r="AE950" s="482"/>
      <c r="AF950" s="482"/>
      <c r="AG950" s="482"/>
      <c r="AH950" s="482"/>
      <c r="AI950" s="482"/>
      <c r="AJ950" s="482"/>
      <c r="AK950" s="482"/>
      <c r="AL950" s="482"/>
      <c r="AM950" s="482"/>
      <c r="AN950" s="482"/>
      <c r="AO950" s="482"/>
      <c r="AP950" s="482"/>
      <c r="AQ950" s="482"/>
      <c r="AR950" s="482"/>
      <c r="AS950" s="482"/>
      <c r="AT950" s="482"/>
      <c r="AU950" s="482"/>
      <c r="AV950" s="482"/>
      <c r="AW950" s="482"/>
      <c r="AX950" s="482"/>
      <c r="AY950" s="486" t="str">
        <f t="shared" si="62"/>
        <v/>
      </c>
      <c r="AZ950" s="487" t="str">
        <f t="shared" si="63"/>
        <v/>
      </c>
      <c r="BA950" s="482"/>
      <c r="BB950" s="482"/>
      <c r="BC950" s="482"/>
      <c r="BD950" s="482"/>
      <c r="BE950" s="482"/>
      <c r="BF950" s="482"/>
      <c r="BG950" s="482"/>
      <c r="BH950" s="482"/>
      <c r="BI950" s="482"/>
      <c r="BJ950" s="482"/>
      <c r="BK950" s="482"/>
      <c r="BL950" s="482"/>
      <c r="BM950" s="482"/>
      <c r="BN950" s="482"/>
      <c r="BO950" s="482"/>
      <c r="BP950" s="482"/>
      <c r="BQ950" s="482"/>
      <c r="BR950" s="482"/>
      <c r="BS950" s="482"/>
      <c r="BT950" s="482"/>
      <c r="BU950" s="482"/>
      <c r="BV950" s="482"/>
      <c r="BW950" s="482"/>
      <c r="BX950" s="482"/>
      <c r="BY950" s="482"/>
      <c r="BZ950" s="482"/>
      <c r="CA950" s="482"/>
      <c r="CB950" s="482"/>
      <c r="CC950" s="482"/>
      <c r="CD950" s="482"/>
      <c r="CE950" s="482"/>
      <c r="CF950" s="482"/>
      <c r="CG950" s="482"/>
      <c r="CH950" s="484"/>
    </row>
    <row r="951" spans="1:86" s="461" customFormat="1" ht="12" customHeight="1" x14ac:dyDescent="0.15">
      <c r="A951" s="522" t="s">
        <v>4003</v>
      </c>
      <c r="B951" s="467">
        <v>42616</v>
      </c>
      <c r="C951" s="468" t="s">
        <v>4004</v>
      </c>
      <c r="D951" s="468" t="s">
        <v>5659</v>
      </c>
      <c r="E951" s="468" t="s">
        <v>5346</v>
      </c>
      <c r="F951" s="468" t="s">
        <v>3686</v>
      </c>
      <c r="G951" s="466">
        <v>7</v>
      </c>
      <c r="H951" s="465">
        <v>8</v>
      </c>
      <c r="I951" s="466"/>
      <c r="J951" s="466"/>
      <c r="K951" s="466">
        <v>13</v>
      </c>
      <c r="L951" s="525">
        <v>8</v>
      </c>
      <c r="M951" s="463">
        <v>55530</v>
      </c>
      <c r="N951" s="468" t="s">
        <v>5599</v>
      </c>
      <c r="O951" s="466">
        <v>9</v>
      </c>
      <c r="P951" s="523">
        <v>-14.5</v>
      </c>
      <c r="Q951" s="462">
        <v>1.1203703703703703E-3</v>
      </c>
      <c r="R951" s="463">
        <v>99</v>
      </c>
      <c r="S951" s="466" t="s">
        <v>625</v>
      </c>
      <c r="T951" s="639" t="s">
        <v>5606</v>
      </c>
      <c r="W951" s="460"/>
      <c r="AY951" s="486">
        <f t="shared" si="62"/>
        <v>99</v>
      </c>
      <c r="AZ951" s="487" t="str">
        <f t="shared" si="63"/>
        <v/>
      </c>
      <c r="CH951" s="459"/>
    </row>
    <row r="952" spans="1:86" s="461" customFormat="1" ht="12" customHeight="1" x14ac:dyDescent="0.15">
      <c r="A952" s="522" t="s">
        <v>4010</v>
      </c>
      <c r="B952" s="467">
        <v>42616</v>
      </c>
      <c r="C952" s="468" t="s">
        <v>4015</v>
      </c>
      <c r="D952" s="468" t="s">
        <v>4016</v>
      </c>
      <c r="E952" s="468" t="s">
        <v>5608</v>
      </c>
      <c r="F952" s="468" t="s">
        <v>3686</v>
      </c>
      <c r="G952" s="466">
        <v>9</v>
      </c>
      <c r="H952" s="465">
        <v>7</v>
      </c>
      <c r="I952" s="466"/>
      <c r="J952" s="466"/>
      <c r="K952" s="466">
        <v>12</v>
      </c>
      <c r="L952" s="506">
        <f>9/2</f>
        <v>4.5</v>
      </c>
      <c r="M952" s="463">
        <v>5810</v>
      </c>
      <c r="N952" s="468" t="s">
        <v>3739</v>
      </c>
      <c r="O952" s="466">
        <v>3</v>
      </c>
      <c r="P952" s="523">
        <v>-0.5</v>
      </c>
      <c r="Q952" s="462">
        <v>9.7384259259259266E-4</v>
      </c>
      <c r="R952" s="463">
        <v>757</v>
      </c>
      <c r="S952" s="466" t="s">
        <v>625</v>
      </c>
      <c r="T952" s="639"/>
      <c r="W952" s="460"/>
      <c r="AY952" s="486">
        <f>IF(S952="","",R952)</f>
        <v>757</v>
      </c>
      <c r="AZ952" s="487" t="str">
        <f>IF(F952="Pleasant Meadows","",IF(L952="","",IF(O952="--","",IF(O952=1,1,""))))</f>
        <v/>
      </c>
      <c r="CH952" s="459"/>
    </row>
    <row r="953" spans="1:86" s="461" customFormat="1" ht="12" customHeight="1" x14ac:dyDescent="0.15">
      <c r="A953" s="522" t="s">
        <v>4062</v>
      </c>
      <c r="B953" s="467">
        <v>42616</v>
      </c>
      <c r="C953" s="468" t="s">
        <v>2744</v>
      </c>
      <c r="D953" s="468" t="s">
        <v>3298</v>
      </c>
      <c r="E953" s="468" t="s">
        <v>3699</v>
      </c>
      <c r="F953" s="468" t="s">
        <v>3686</v>
      </c>
      <c r="G953" s="466">
        <v>9</v>
      </c>
      <c r="H953" s="465">
        <v>7</v>
      </c>
      <c r="I953" s="466"/>
      <c r="J953" s="466"/>
      <c r="K953" s="466">
        <v>12</v>
      </c>
      <c r="L953" s="506">
        <v>6</v>
      </c>
      <c r="M953" s="463">
        <v>5810</v>
      </c>
      <c r="N953" s="468" t="s">
        <v>3739</v>
      </c>
      <c r="O953" s="466">
        <v>12</v>
      </c>
      <c r="P953" s="523">
        <v>-15</v>
      </c>
      <c r="Q953" s="462">
        <v>9.7384259259259266E-4</v>
      </c>
      <c r="R953" s="463">
        <v>99</v>
      </c>
      <c r="S953" s="466" t="s">
        <v>625</v>
      </c>
      <c r="T953" s="639"/>
      <c r="W953" s="460"/>
      <c r="AY953" s="486">
        <f t="shared" si="62"/>
        <v>99</v>
      </c>
      <c r="AZ953" s="487" t="str">
        <f t="shared" si="63"/>
        <v/>
      </c>
      <c r="CH953" s="459"/>
    </row>
    <row r="954" spans="1:86" s="461" customFormat="1" ht="12" customHeight="1" x14ac:dyDescent="0.15">
      <c r="A954" s="522" t="s">
        <v>3825</v>
      </c>
      <c r="B954" s="467">
        <v>42616</v>
      </c>
      <c r="C954" s="468" t="s">
        <v>3826</v>
      </c>
      <c r="D954" s="468" t="s">
        <v>3827</v>
      </c>
      <c r="E954" s="468" t="s">
        <v>3698</v>
      </c>
      <c r="F954" s="468" t="s">
        <v>3686</v>
      </c>
      <c r="G954" s="466">
        <v>10</v>
      </c>
      <c r="H954" s="465">
        <v>8</v>
      </c>
      <c r="I954" s="466"/>
      <c r="J954" s="466"/>
      <c r="K954" s="466">
        <v>14</v>
      </c>
      <c r="L954" s="525">
        <v>6</v>
      </c>
      <c r="M954" s="463">
        <v>55530</v>
      </c>
      <c r="N954" s="468" t="s">
        <v>5600</v>
      </c>
      <c r="O954" s="466">
        <v>9</v>
      </c>
      <c r="P954" s="523">
        <v>-14.25</v>
      </c>
      <c r="Q954" s="462">
        <v>1.1038194444444444E-3</v>
      </c>
      <c r="R954" s="463">
        <v>99</v>
      </c>
      <c r="S954" s="466" t="s">
        <v>625</v>
      </c>
      <c r="T954" s="639" t="s">
        <v>5606</v>
      </c>
      <c r="W954" s="460"/>
      <c r="AY954" s="486">
        <f t="shared" si="62"/>
        <v>99</v>
      </c>
      <c r="AZ954" s="487" t="str">
        <f t="shared" si="63"/>
        <v/>
      </c>
      <c r="CH954" s="459"/>
    </row>
    <row r="955" spans="1:86" s="461" customFormat="1" ht="12" customHeight="1" x14ac:dyDescent="0.15">
      <c r="A955" s="522" t="s">
        <v>3941</v>
      </c>
      <c r="B955" s="467">
        <v>42616</v>
      </c>
      <c r="C955" s="468" t="s">
        <v>2744</v>
      </c>
      <c r="D955" s="468" t="s">
        <v>3832</v>
      </c>
      <c r="E955" s="468" t="s">
        <v>4299</v>
      </c>
      <c r="F955" s="468" t="s">
        <v>3686</v>
      </c>
      <c r="G955" s="466">
        <v>14</v>
      </c>
      <c r="H955" s="465">
        <v>5.5</v>
      </c>
      <c r="I955" s="466"/>
      <c r="J955" s="466"/>
      <c r="K955" s="466">
        <v>14</v>
      </c>
      <c r="L955" s="525">
        <v>5</v>
      </c>
      <c r="M955" s="463">
        <v>11924</v>
      </c>
      <c r="N955" s="468" t="s">
        <v>5601</v>
      </c>
      <c r="O955" s="466">
        <v>6</v>
      </c>
      <c r="P955" s="523">
        <v>-3.25</v>
      </c>
      <c r="Q955" s="462">
        <v>7.4942129629629621E-4</v>
      </c>
      <c r="R955" s="463">
        <v>99</v>
      </c>
      <c r="S955" s="466" t="s">
        <v>625</v>
      </c>
      <c r="T955" s="639"/>
      <c r="W955" s="460"/>
      <c r="AY955" s="486">
        <f t="shared" si="62"/>
        <v>99</v>
      </c>
      <c r="AZ955" s="487" t="str">
        <f t="shared" si="63"/>
        <v/>
      </c>
      <c r="CH955" s="459"/>
    </row>
    <row r="956" spans="1:86" s="469" customFormat="1" ht="12" customHeight="1" x14ac:dyDescent="0.15">
      <c r="A956" s="471" t="s">
        <v>1295</v>
      </c>
      <c r="B956" s="472">
        <v>42616</v>
      </c>
      <c r="C956" s="471" t="s">
        <v>5413</v>
      </c>
      <c r="D956" s="471" t="s">
        <v>5414</v>
      </c>
      <c r="E956" s="471" t="s">
        <v>5366</v>
      </c>
      <c r="F956" s="471" t="s">
        <v>5311</v>
      </c>
      <c r="G956" s="473">
        <v>6</v>
      </c>
      <c r="H956" s="474">
        <v>8.5</v>
      </c>
      <c r="I956" s="475" t="s">
        <v>3730</v>
      </c>
      <c r="J956" s="475"/>
      <c r="K956" s="473">
        <v>11</v>
      </c>
      <c r="L956" s="458">
        <v>12</v>
      </c>
      <c r="M956" s="476">
        <v>90000</v>
      </c>
      <c r="N956" s="471" t="s">
        <v>5607</v>
      </c>
      <c r="O956" s="637" t="s">
        <v>431</v>
      </c>
      <c r="P956" s="478" t="s">
        <v>431</v>
      </c>
      <c r="Q956" s="479" t="s">
        <v>431</v>
      </c>
      <c r="R956" s="480" t="s">
        <v>431</v>
      </c>
      <c r="S956" s="477"/>
      <c r="T956" s="481" t="s">
        <v>5635</v>
      </c>
      <c r="U956" s="482"/>
      <c r="V956" s="482"/>
      <c r="W956" s="483"/>
      <c r="X956" s="482"/>
      <c r="Y956" s="482"/>
      <c r="Z956" s="482"/>
      <c r="AA956" s="482"/>
      <c r="AB956" s="482"/>
      <c r="AC956" s="482"/>
      <c r="AD956" s="482"/>
      <c r="AE956" s="482"/>
      <c r="AF956" s="482"/>
      <c r="AG956" s="482"/>
      <c r="AH956" s="482"/>
      <c r="AI956" s="482"/>
      <c r="AJ956" s="482"/>
      <c r="AK956" s="482"/>
      <c r="AL956" s="482"/>
      <c r="AM956" s="482"/>
      <c r="AN956" s="482"/>
      <c r="AO956" s="482"/>
      <c r="AP956" s="482"/>
      <c r="AQ956" s="482"/>
      <c r="AR956" s="482"/>
      <c r="AS956" s="482"/>
      <c r="AT956" s="482"/>
      <c r="AU956" s="482"/>
      <c r="AV956" s="482"/>
      <c r="AW956" s="482"/>
      <c r="AX956" s="482"/>
      <c r="AY956" s="486" t="str">
        <f t="shared" si="62"/>
        <v/>
      </c>
      <c r="AZ956" s="487" t="str">
        <f t="shared" si="63"/>
        <v/>
      </c>
      <c r="BA956" s="482"/>
      <c r="BB956" s="482"/>
      <c r="BC956" s="482"/>
      <c r="BD956" s="482"/>
      <c r="BE956" s="482"/>
      <c r="BF956" s="482"/>
      <c r="BG956" s="482"/>
      <c r="BH956" s="482"/>
      <c r="BI956" s="482"/>
      <c r="BJ956" s="482"/>
      <c r="BK956" s="482"/>
      <c r="BL956" s="482"/>
      <c r="BM956" s="482"/>
      <c r="BN956" s="482"/>
      <c r="BO956" s="482"/>
      <c r="BP956" s="482"/>
      <c r="BQ956" s="482"/>
      <c r="BR956" s="482"/>
      <c r="BS956" s="482"/>
      <c r="BT956" s="482"/>
      <c r="BU956" s="482"/>
      <c r="BV956" s="482"/>
      <c r="BW956" s="482"/>
      <c r="BX956" s="482"/>
      <c r="BY956" s="482"/>
      <c r="BZ956" s="482"/>
      <c r="CA956" s="482"/>
      <c r="CB956" s="482"/>
      <c r="CC956" s="482"/>
      <c r="CD956" s="482"/>
      <c r="CE956" s="482"/>
      <c r="CF956" s="482"/>
      <c r="CG956" s="482"/>
      <c r="CH956" s="484"/>
    </row>
    <row r="957" spans="1:86" s="461" customFormat="1" ht="12" customHeight="1" x14ac:dyDescent="0.15">
      <c r="A957" s="522" t="s">
        <v>1816</v>
      </c>
      <c r="B957" s="467">
        <v>42616</v>
      </c>
      <c r="C957" s="468" t="s">
        <v>3704</v>
      </c>
      <c r="D957" s="468" t="s">
        <v>3705</v>
      </c>
      <c r="E957" s="468" t="s">
        <v>4775</v>
      </c>
      <c r="F957" s="468" t="s">
        <v>4171</v>
      </c>
      <c r="G957" s="466">
        <v>9</v>
      </c>
      <c r="H957" s="465">
        <v>8.5</v>
      </c>
      <c r="I957" s="466"/>
      <c r="J957" s="466"/>
      <c r="K957" s="466">
        <v>7</v>
      </c>
      <c r="L957" s="506">
        <f>9/2</f>
        <v>4.5</v>
      </c>
      <c r="M957" s="463">
        <v>100000</v>
      </c>
      <c r="N957" s="468" t="s">
        <v>5283</v>
      </c>
      <c r="O957" s="466">
        <v>2</v>
      </c>
      <c r="P957" s="523">
        <v>-4.5</v>
      </c>
      <c r="Q957" s="462">
        <v>1.2079861111111113E-3</v>
      </c>
      <c r="R957" s="463">
        <v>20000</v>
      </c>
      <c r="S957" s="466"/>
      <c r="T957" s="524"/>
      <c r="W957" s="460"/>
      <c r="AY957" s="486" t="str">
        <f t="shared" si="62"/>
        <v/>
      </c>
      <c r="AZ957" s="487" t="str">
        <f t="shared" si="63"/>
        <v/>
      </c>
      <c r="CH957" s="459"/>
    </row>
    <row r="958" spans="1:86" s="469" customFormat="1" ht="12" customHeight="1" x14ac:dyDescent="0.15">
      <c r="A958" s="471" t="s">
        <v>3158</v>
      </c>
      <c r="B958" s="472">
        <v>42616</v>
      </c>
      <c r="C958" s="471" t="s">
        <v>4170</v>
      </c>
      <c r="D958" s="471" t="s">
        <v>3705</v>
      </c>
      <c r="E958" s="471" t="s">
        <v>3188</v>
      </c>
      <c r="F958" s="471" t="s">
        <v>4171</v>
      </c>
      <c r="G958" s="473">
        <v>9</v>
      </c>
      <c r="H958" s="474">
        <v>8.5</v>
      </c>
      <c r="I958" s="475"/>
      <c r="J958" s="475"/>
      <c r="K958" s="473">
        <v>9</v>
      </c>
      <c r="L958" s="485" t="s">
        <v>431</v>
      </c>
      <c r="M958" s="476">
        <v>100000</v>
      </c>
      <c r="N958" s="471" t="s">
        <v>5283</v>
      </c>
      <c r="O958" s="637" t="s">
        <v>431</v>
      </c>
      <c r="P958" s="478" t="s">
        <v>431</v>
      </c>
      <c r="Q958" s="479" t="s">
        <v>431</v>
      </c>
      <c r="R958" s="480" t="s">
        <v>431</v>
      </c>
      <c r="S958" s="477"/>
      <c r="T958" s="481" t="s">
        <v>4110</v>
      </c>
      <c r="U958" s="482"/>
      <c r="V958" s="482"/>
      <c r="W958" s="483"/>
      <c r="X958" s="482"/>
      <c r="Y958" s="482"/>
      <c r="Z958" s="482"/>
      <c r="AA958" s="482"/>
      <c r="AB958" s="482"/>
      <c r="AC958" s="482"/>
      <c r="AD958" s="482"/>
      <c r="AE958" s="482"/>
      <c r="AF958" s="482"/>
      <c r="AG958" s="482"/>
      <c r="AH958" s="482"/>
      <c r="AI958" s="482"/>
      <c r="AJ958" s="482"/>
      <c r="AK958" s="482"/>
      <c r="AL958" s="482"/>
      <c r="AM958" s="482"/>
      <c r="AN958" s="482"/>
      <c r="AO958" s="482"/>
      <c r="AP958" s="482"/>
      <c r="AQ958" s="482"/>
      <c r="AR958" s="482"/>
      <c r="AS958" s="482"/>
      <c r="AT958" s="482"/>
      <c r="AU958" s="482"/>
      <c r="AV958" s="482"/>
      <c r="AW958" s="482"/>
      <c r="AX958" s="482"/>
      <c r="AY958" s="486" t="str">
        <f t="shared" si="62"/>
        <v/>
      </c>
      <c r="AZ958" s="487" t="str">
        <f t="shared" si="63"/>
        <v/>
      </c>
      <c r="BA958" s="482"/>
      <c r="BB958" s="482"/>
      <c r="BC958" s="482"/>
      <c r="BD958" s="482"/>
      <c r="BE958" s="482"/>
      <c r="BF958" s="482"/>
      <c r="BG958" s="482"/>
      <c r="BH958" s="482"/>
      <c r="BI958" s="482"/>
      <c r="BJ958" s="482"/>
      <c r="BK958" s="482"/>
      <c r="BL958" s="482"/>
      <c r="BM958" s="482"/>
      <c r="BN958" s="482"/>
      <c r="BO958" s="482"/>
      <c r="BP958" s="482"/>
      <c r="BQ958" s="482"/>
      <c r="BR958" s="482"/>
      <c r="BS958" s="482"/>
      <c r="BT958" s="482"/>
      <c r="BU958" s="482"/>
      <c r="BV958" s="482"/>
      <c r="BW958" s="482"/>
      <c r="BX958" s="482"/>
      <c r="BY958" s="482"/>
      <c r="BZ958" s="482"/>
      <c r="CA958" s="482"/>
      <c r="CB958" s="482"/>
      <c r="CC958" s="482"/>
      <c r="CD958" s="482"/>
      <c r="CE958" s="482"/>
      <c r="CF958" s="482"/>
      <c r="CG958" s="482"/>
      <c r="CH958" s="484"/>
    </row>
    <row r="959" spans="1:86" s="469" customFormat="1" ht="12" customHeight="1" x14ac:dyDescent="0.15">
      <c r="A959" s="471" t="s">
        <v>3154</v>
      </c>
      <c r="B959" s="472">
        <v>42616</v>
      </c>
      <c r="C959" s="471" t="s">
        <v>4170</v>
      </c>
      <c r="D959" s="471" t="s">
        <v>3705</v>
      </c>
      <c r="E959" s="471" t="s">
        <v>3188</v>
      </c>
      <c r="F959" s="471" t="s">
        <v>4171</v>
      </c>
      <c r="G959" s="473">
        <v>9</v>
      </c>
      <c r="H959" s="474">
        <v>8.5</v>
      </c>
      <c r="I959" s="475"/>
      <c r="J959" s="475"/>
      <c r="K959" s="473">
        <v>9</v>
      </c>
      <c r="L959" s="485" t="s">
        <v>431</v>
      </c>
      <c r="M959" s="476">
        <v>100000</v>
      </c>
      <c r="N959" s="471" t="s">
        <v>5283</v>
      </c>
      <c r="O959" s="637" t="s">
        <v>431</v>
      </c>
      <c r="P959" s="478" t="s">
        <v>431</v>
      </c>
      <c r="Q959" s="479" t="s">
        <v>431</v>
      </c>
      <c r="R959" s="480" t="s">
        <v>431</v>
      </c>
      <c r="S959" s="477"/>
      <c r="T959" s="481" t="s">
        <v>4110</v>
      </c>
      <c r="U959" s="482"/>
      <c r="V959" s="482"/>
      <c r="W959" s="483"/>
      <c r="X959" s="482"/>
      <c r="Y959" s="482"/>
      <c r="Z959" s="482"/>
      <c r="AA959" s="482"/>
      <c r="AB959" s="482"/>
      <c r="AC959" s="482"/>
      <c r="AD959" s="482"/>
      <c r="AE959" s="482"/>
      <c r="AF959" s="482"/>
      <c r="AG959" s="482"/>
      <c r="AH959" s="482"/>
      <c r="AI959" s="482"/>
      <c r="AJ959" s="482"/>
      <c r="AK959" s="482"/>
      <c r="AL959" s="482"/>
      <c r="AM959" s="482"/>
      <c r="AN959" s="482"/>
      <c r="AO959" s="482"/>
      <c r="AP959" s="482"/>
      <c r="AQ959" s="482"/>
      <c r="AR959" s="482"/>
      <c r="AS959" s="482"/>
      <c r="AT959" s="482"/>
      <c r="AU959" s="482"/>
      <c r="AV959" s="482"/>
      <c r="AW959" s="482"/>
      <c r="AX959" s="482"/>
      <c r="AY959" s="486" t="str">
        <f t="shared" si="62"/>
        <v/>
      </c>
      <c r="AZ959" s="487" t="str">
        <f t="shared" si="63"/>
        <v/>
      </c>
      <c r="BA959" s="482"/>
      <c r="BB959" s="482"/>
      <c r="BC959" s="482"/>
      <c r="BD959" s="482"/>
      <c r="BE959" s="482"/>
      <c r="BF959" s="482"/>
      <c r="BG959" s="482"/>
      <c r="BH959" s="482"/>
      <c r="BI959" s="482"/>
      <c r="BJ959" s="482"/>
      <c r="BK959" s="482"/>
      <c r="BL959" s="482"/>
      <c r="BM959" s="482"/>
      <c r="BN959" s="482"/>
      <c r="BO959" s="482"/>
      <c r="BP959" s="482"/>
      <c r="BQ959" s="482"/>
      <c r="BR959" s="482"/>
      <c r="BS959" s="482"/>
      <c r="BT959" s="482"/>
      <c r="BU959" s="482"/>
      <c r="BV959" s="482"/>
      <c r="BW959" s="482"/>
      <c r="BX959" s="482"/>
      <c r="BY959" s="482"/>
      <c r="BZ959" s="482"/>
      <c r="CA959" s="482"/>
      <c r="CB959" s="482"/>
      <c r="CC959" s="482"/>
      <c r="CD959" s="482"/>
      <c r="CE959" s="482"/>
      <c r="CF959" s="482"/>
      <c r="CG959" s="482"/>
      <c r="CH959" s="484"/>
    </row>
    <row r="960" spans="1:86" s="461" customFormat="1" ht="12" customHeight="1" x14ac:dyDescent="0.15">
      <c r="A960" s="522" t="s">
        <v>122</v>
      </c>
      <c r="B960" s="467">
        <v>42616</v>
      </c>
      <c r="C960" s="468" t="s">
        <v>4346</v>
      </c>
      <c r="D960" s="468" t="s">
        <v>4347</v>
      </c>
      <c r="E960" s="468" t="s">
        <v>4212</v>
      </c>
      <c r="F960" s="468" t="s">
        <v>1162</v>
      </c>
      <c r="G960" s="466">
        <v>3</v>
      </c>
      <c r="H960" s="465">
        <v>8.5</v>
      </c>
      <c r="I960" s="466" t="s">
        <v>3730</v>
      </c>
      <c r="J960" s="466"/>
      <c r="K960" s="466">
        <v>6</v>
      </c>
      <c r="L960" s="506">
        <v>8</v>
      </c>
      <c r="M960" s="463">
        <v>25000</v>
      </c>
      <c r="N960" s="468" t="s">
        <v>4486</v>
      </c>
      <c r="O960" s="466">
        <v>4</v>
      </c>
      <c r="P960" s="523">
        <v>-3</v>
      </c>
      <c r="Q960" s="462">
        <v>1.2005787037037035E-3</v>
      </c>
      <c r="R960" s="463">
        <v>1500</v>
      </c>
      <c r="S960" s="466"/>
      <c r="T960" s="524"/>
      <c r="W960" s="460"/>
      <c r="AY960" s="486" t="str">
        <f t="shared" si="62"/>
        <v/>
      </c>
      <c r="AZ960" s="487" t="str">
        <f t="shared" si="63"/>
        <v/>
      </c>
      <c r="CH960" s="459"/>
    </row>
    <row r="961" spans="1:90" s="469" customFormat="1" ht="12" customHeight="1" x14ac:dyDescent="0.15">
      <c r="A961" s="471" t="s">
        <v>3266</v>
      </c>
      <c r="B961" s="472">
        <v>42616</v>
      </c>
      <c r="C961" s="471" t="s">
        <v>4333</v>
      </c>
      <c r="D961" s="471" t="s">
        <v>3705</v>
      </c>
      <c r="E961" s="471" t="s">
        <v>3856</v>
      </c>
      <c r="F961" s="471" t="s">
        <v>4171</v>
      </c>
      <c r="G961" s="473">
        <v>10</v>
      </c>
      <c r="H961" s="474">
        <v>5</v>
      </c>
      <c r="I961" s="475" t="s">
        <v>3730</v>
      </c>
      <c r="J961" s="475"/>
      <c r="K961" s="473">
        <v>10</v>
      </c>
      <c r="L961" s="458">
        <v>10</v>
      </c>
      <c r="M961" s="476">
        <v>100000</v>
      </c>
      <c r="N961" s="471" t="s">
        <v>5282</v>
      </c>
      <c r="O961" s="637" t="s">
        <v>431</v>
      </c>
      <c r="P961" s="478" t="s">
        <v>431</v>
      </c>
      <c r="Q961" s="479" t="s">
        <v>431</v>
      </c>
      <c r="R961" s="480" t="s">
        <v>431</v>
      </c>
      <c r="S961" s="477"/>
      <c r="T961" s="481" t="s">
        <v>5636</v>
      </c>
      <c r="U961" s="482"/>
      <c r="V961" s="482"/>
      <c r="W961" s="483"/>
      <c r="X961" s="482"/>
      <c r="Y961" s="482"/>
      <c r="Z961" s="482"/>
      <c r="AA961" s="482"/>
      <c r="AB961" s="482"/>
      <c r="AC961" s="482"/>
      <c r="AD961" s="482"/>
      <c r="AE961" s="482"/>
      <c r="AF961" s="482"/>
      <c r="AG961" s="482"/>
      <c r="AH961" s="482"/>
      <c r="AI961" s="482"/>
      <c r="AJ961" s="482"/>
      <c r="AK961" s="482"/>
      <c r="AL961" s="482"/>
      <c r="AM961" s="482"/>
      <c r="AN961" s="482"/>
      <c r="AO961" s="482"/>
      <c r="AP961" s="482"/>
      <c r="AQ961" s="482"/>
      <c r="AR961" s="482"/>
      <c r="AS961" s="482"/>
      <c r="AT961" s="482"/>
      <c r="AU961" s="482"/>
      <c r="AV961" s="482"/>
      <c r="AW961" s="482"/>
      <c r="AX961" s="482"/>
      <c r="AY961" s="486" t="str">
        <f t="shared" si="62"/>
        <v/>
      </c>
      <c r="AZ961" s="487" t="str">
        <f t="shared" si="63"/>
        <v/>
      </c>
      <c r="BA961" s="482"/>
      <c r="BB961" s="482"/>
      <c r="BC961" s="482"/>
      <c r="BD961" s="482"/>
      <c r="BE961" s="482"/>
      <c r="BF961" s="482"/>
      <c r="BG961" s="482"/>
      <c r="BH961" s="482"/>
      <c r="BI961" s="482"/>
      <c r="BJ961" s="482"/>
      <c r="BK961" s="482"/>
      <c r="BL961" s="482"/>
      <c r="BM961" s="482"/>
      <c r="BN961" s="482"/>
      <c r="BO961" s="482"/>
      <c r="BP961" s="482"/>
      <c r="BQ961" s="482"/>
      <c r="BR961" s="482"/>
      <c r="BS961" s="482"/>
      <c r="BT961" s="482"/>
      <c r="BU961" s="482"/>
      <c r="BV961" s="482"/>
      <c r="BW961" s="482"/>
      <c r="BX961" s="482"/>
      <c r="BY961" s="482"/>
      <c r="BZ961" s="482"/>
      <c r="CA961" s="482"/>
      <c r="CB961" s="482"/>
      <c r="CC961" s="482"/>
      <c r="CD961" s="482"/>
      <c r="CE961" s="482"/>
      <c r="CF961" s="482"/>
      <c r="CG961" s="482"/>
      <c r="CH961" s="484"/>
    </row>
    <row r="962" spans="1:90" s="461" customFormat="1" ht="12" customHeight="1" x14ac:dyDescent="0.15">
      <c r="A962" s="522" t="s">
        <v>3339</v>
      </c>
      <c r="B962" s="467">
        <v>42617</v>
      </c>
      <c r="C962" s="468" t="s">
        <v>1786</v>
      </c>
      <c r="D962" s="468" t="s">
        <v>4257</v>
      </c>
      <c r="E962" s="468" t="s">
        <v>5318</v>
      </c>
      <c r="F962" s="468" t="s">
        <v>4171</v>
      </c>
      <c r="G962" s="466">
        <v>3</v>
      </c>
      <c r="H962" s="465">
        <v>7</v>
      </c>
      <c r="I962" s="466"/>
      <c r="J962" s="466"/>
      <c r="K962" s="466">
        <v>7</v>
      </c>
      <c r="L962" s="506">
        <v>2</v>
      </c>
      <c r="M962" s="463">
        <v>24000</v>
      </c>
      <c r="N962" s="468" t="s">
        <v>5605</v>
      </c>
      <c r="O962" s="466">
        <v>6</v>
      </c>
      <c r="P962" s="523">
        <v>-9.5</v>
      </c>
      <c r="Q962" s="462">
        <v>9.7488425925925922E-4</v>
      </c>
      <c r="R962" s="463">
        <v>200</v>
      </c>
      <c r="S962" s="466"/>
      <c r="T962" s="524" t="s">
        <v>5651</v>
      </c>
      <c r="W962" s="460"/>
      <c r="AY962" s="486" t="str">
        <f t="shared" si="62"/>
        <v/>
      </c>
      <c r="AZ962" s="487" t="str">
        <f t="shared" si="63"/>
        <v/>
      </c>
      <c r="CH962" s="459"/>
    </row>
    <row r="963" spans="1:90" s="469" customFormat="1" ht="12" customHeight="1" x14ac:dyDescent="0.15">
      <c r="A963" s="471" t="s">
        <v>5648</v>
      </c>
      <c r="B963" s="472">
        <v>42617</v>
      </c>
      <c r="C963" s="471" t="s">
        <v>3370</v>
      </c>
      <c r="D963" s="471" t="s">
        <v>3902</v>
      </c>
      <c r="E963" s="471" t="s">
        <v>4243</v>
      </c>
      <c r="F963" s="471" t="s">
        <v>3685</v>
      </c>
      <c r="G963" s="473">
        <v>2</v>
      </c>
      <c r="H963" s="474">
        <v>6</v>
      </c>
      <c r="I963" s="475"/>
      <c r="J963" s="475"/>
      <c r="K963" s="473">
        <v>10</v>
      </c>
      <c r="L963" s="458">
        <f>9/2</f>
        <v>4.5</v>
      </c>
      <c r="M963" s="476">
        <v>4278</v>
      </c>
      <c r="N963" s="471" t="s">
        <v>3348</v>
      </c>
      <c r="O963" s="637" t="s">
        <v>431</v>
      </c>
      <c r="P963" s="478" t="s">
        <v>431</v>
      </c>
      <c r="Q963" s="479" t="s">
        <v>431</v>
      </c>
      <c r="R963" s="480" t="s">
        <v>431</v>
      </c>
      <c r="S963" s="477" t="s">
        <v>625</v>
      </c>
      <c r="T963" s="481" t="s">
        <v>3885</v>
      </c>
      <c r="U963" s="482"/>
      <c r="V963" s="482"/>
      <c r="W963" s="483"/>
      <c r="X963" s="482"/>
      <c r="Y963" s="482"/>
      <c r="Z963" s="482"/>
      <c r="AA963" s="482"/>
      <c r="AB963" s="482"/>
      <c r="AC963" s="482"/>
      <c r="AD963" s="482"/>
      <c r="AE963" s="482"/>
      <c r="AF963" s="482"/>
      <c r="AG963" s="482"/>
      <c r="AH963" s="482"/>
      <c r="AI963" s="482"/>
      <c r="AJ963" s="482"/>
      <c r="AK963" s="482"/>
      <c r="AL963" s="482"/>
      <c r="AM963" s="482"/>
      <c r="AN963" s="482"/>
      <c r="AO963" s="482"/>
      <c r="AP963" s="482"/>
      <c r="AQ963" s="482"/>
      <c r="AR963" s="482"/>
      <c r="AS963" s="482"/>
      <c r="AT963" s="482"/>
      <c r="AU963" s="482"/>
      <c r="AV963" s="482"/>
      <c r="AW963" s="482"/>
      <c r="AX963" s="482"/>
      <c r="AY963" s="486" t="str">
        <f t="shared" si="62"/>
        <v>--</v>
      </c>
      <c r="AZ963" s="487" t="str">
        <f t="shared" si="63"/>
        <v/>
      </c>
      <c r="BA963" s="482"/>
      <c r="BB963" s="482"/>
      <c r="BC963" s="482"/>
      <c r="BD963" s="482"/>
      <c r="BE963" s="482"/>
      <c r="BF963" s="482"/>
      <c r="BG963" s="482"/>
      <c r="BH963" s="482"/>
      <c r="BI963" s="482"/>
      <c r="BJ963" s="482"/>
      <c r="BK963" s="482"/>
      <c r="BL963" s="482"/>
      <c r="BM963" s="482"/>
      <c r="BN963" s="482"/>
      <c r="BO963" s="482"/>
      <c r="BP963" s="482"/>
      <c r="BQ963" s="482"/>
      <c r="BR963" s="482"/>
      <c r="BS963" s="482"/>
      <c r="BT963" s="482"/>
      <c r="BU963" s="482"/>
      <c r="BV963" s="482"/>
      <c r="BW963" s="482"/>
      <c r="BX963" s="482"/>
      <c r="BY963" s="482"/>
      <c r="BZ963" s="482"/>
      <c r="CA963" s="482"/>
      <c r="CB963" s="482"/>
      <c r="CC963" s="482"/>
      <c r="CD963" s="482"/>
      <c r="CE963" s="482"/>
      <c r="CF963" s="482"/>
      <c r="CG963" s="482"/>
      <c r="CH963" s="484"/>
    </row>
    <row r="964" spans="1:90" s="461" customFormat="1" ht="12" customHeight="1" x14ac:dyDescent="0.15">
      <c r="A964" s="522" t="s">
        <v>3594</v>
      </c>
      <c r="B964" s="467">
        <v>42617</v>
      </c>
      <c r="C964" s="468" t="s">
        <v>5426</v>
      </c>
      <c r="D964" s="468" t="s">
        <v>5425</v>
      </c>
      <c r="E964" s="468" t="s">
        <v>4243</v>
      </c>
      <c r="F964" s="468" t="s">
        <v>3685</v>
      </c>
      <c r="G964" s="466">
        <v>3</v>
      </c>
      <c r="H964" s="465">
        <v>5.5</v>
      </c>
      <c r="I964" s="466"/>
      <c r="J964" s="466"/>
      <c r="K964" s="466">
        <v>14</v>
      </c>
      <c r="L964" s="525">
        <v>3</v>
      </c>
      <c r="M964" s="463">
        <v>2853</v>
      </c>
      <c r="N964" s="468" t="s">
        <v>5185</v>
      </c>
      <c r="O964" s="466">
        <v>2</v>
      </c>
      <c r="P964" s="523">
        <v>-2.5</v>
      </c>
      <c r="Q964" s="462">
        <v>7.4722222222222236E-4</v>
      </c>
      <c r="R964" s="463">
        <v>457</v>
      </c>
      <c r="S964" s="466"/>
      <c r="T964" s="639"/>
      <c r="W964" s="460"/>
      <c r="AY964" s="486" t="str">
        <f t="shared" si="62"/>
        <v/>
      </c>
      <c r="AZ964" s="487" t="str">
        <f t="shared" si="63"/>
        <v/>
      </c>
      <c r="CH964" s="459"/>
    </row>
    <row r="965" spans="1:90" s="461" customFormat="1" ht="12" customHeight="1" x14ac:dyDescent="0.15">
      <c r="A965" s="522" t="s">
        <v>1295</v>
      </c>
      <c r="B965" s="467">
        <v>42617</v>
      </c>
      <c r="C965" s="468" t="s">
        <v>5413</v>
      </c>
      <c r="D965" s="468" t="s">
        <v>5414</v>
      </c>
      <c r="E965" s="468" t="s">
        <v>5366</v>
      </c>
      <c r="F965" s="468" t="s">
        <v>5311</v>
      </c>
      <c r="G965" s="466">
        <v>3</v>
      </c>
      <c r="H965" s="465">
        <v>12</v>
      </c>
      <c r="I965" s="642"/>
      <c r="J965" s="642"/>
      <c r="K965" s="466">
        <v>6</v>
      </c>
      <c r="L965" s="525">
        <v>8</v>
      </c>
      <c r="M965" s="463">
        <v>90000</v>
      </c>
      <c r="N965" s="468" t="s">
        <v>5615</v>
      </c>
      <c r="O965" s="466">
        <v>6</v>
      </c>
      <c r="P965" s="523">
        <v>-15.25</v>
      </c>
      <c r="Q965" s="462">
        <v>1.6803240740740739E-3</v>
      </c>
      <c r="R965" s="463">
        <v>1800</v>
      </c>
      <c r="S965" s="466"/>
      <c r="T965" s="639"/>
      <c r="W965" s="460"/>
      <c r="AY965" s="486" t="str">
        <f t="shared" si="62"/>
        <v/>
      </c>
      <c r="AZ965" s="487" t="str">
        <f t="shared" si="63"/>
        <v/>
      </c>
      <c r="CH965" s="459"/>
    </row>
    <row r="966" spans="1:90" s="469" customFormat="1" ht="12" customHeight="1" x14ac:dyDescent="0.15">
      <c r="A966" s="444" t="s">
        <v>3099</v>
      </c>
      <c r="B966" s="445">
        <v>42617</v>
      </c>
      <c r="C966" s="446" t="s">
        <v>3293</v>
      </c>
      <c r="D966" s="446" t="s">
        <v>5218</v>
      </c>
      <c r="E966" s="446" t="s">
        <v>4337</v>
      </c>
      <c r="F966" s="446" t="s">
        <v>1205</v>
      </c>
      <c r="G966" s="447">
        <v>4</v>
      </c>
      <c r="H966" s="448">
        <v>4</v>
      </c>
      <c r="I966" s="447"/>
      <c r="J966" s="447"/>
      <c r="K966" s="447">
        <v>8</v>
      </c>
      <c r="L966" s="449">
        <v>3</v>
      </c>
      <c r="M966" s="450">
        <v>23000</v>
      </c>
      <c r="N966" s="446" t="s">
        <v>5481</v>
      </c>
      <c r="O966" s="447">
        <v>1</v>
      </c>
      <c r="P966" s="451">
        <v>6.75</v>
      </c>
      <c r="Q966" s="452">
        <v>5.4259259259259256E-4</v>
      </c>
      <c r="R966" s="450">
        <v>13110</v>
      </c>
      <c r="S966" s="447"/>
      <c r="T966" s="453" t="s">
        <v>5649</v>
      </c>
      <c r="U966" s="454"/>
      <c r="V966" s="454"/>
      <c r="W966" s="455"/>
      <c r="X966" s="454"/>
      <c r="Y966" s="454"/>
      <c r="Z966" s="454"/>
      <c r="AA966" s="454"/>
      <c r="AB966" s="454"/>
      <c r="AC966" s="454"/>
      <c r="AD966" s="454"/>
      <c r="AE966" s="454"/>
      <c r="AF966" s="454"/>
      <c r="AG966" s="454"/>
      <c r="AH966" s="454"/>
      <c r="AI966" s="454"/>
      <c r="AJ966" s="454"/>
      <c r="AK966" s="454"/>
      <c r="AL966" s="454"/>
      <c r="AM966" s="454"/>
      <c r="AN966" s="454"/>
      <c r="AO966" s="454"/>
      <c r="AP966" s="454"/>
      <c r="AQ966" s="454"/>
      <c r="AR966" s="454"/>
      <c r="AS966" s="454"/>
      <c r="AT966" s="454"/>
      <c r="AU966" s="454"/>
      <c r="AV966" s="454"/>
      <c r="AW966" s="454"/>
      <c r="AX966" s="454"/>
      <c r="AY966" s="486" t="str">
        <f t="shared" si="62"/>
        <v/>
      </c>
      <c r="AZ966" s="487">
        <f t="shared" si="63"/>
        <v>1</v>
      </c>
      <c r="BA966" s="454"/>
      <c r="BB966" s="454"/>
      <c r="BC966" s="454"/>
      <c r="BD966" s="454"/>
      <c r="BE966" s="454"/>
      <c r="BF966" s="454"/>
      <c r="BG966" s="454"/>
      <c r="BH966" s="454"/>
      <c r="BI966" s="454"/>
      <c r="BJ966" s="454"/>
      <c r="BK966" s="454"/>
      <c r="BL966" s="454"/>
      <c r="BM966" s="454"/>
      <c r="BN966" s="454"/>
      <c r="BO966" s="454"/>
      <c r="BP966" s="454"/>
      <c r="BQ966" s="454"/>
      <c r="BR966" s="454"/>
      <c r="BS966" s="454"/>
      <c r="BT966" s="454"/>
      <c r="BU966" s="454"/>
      <c r="BV966" s="454"/>
      <c r="BW966" s="454"/>
      <c r="BX966" s="454"/>
      <c r="BY966" s="454"/>
      <c r="BZ966" s="454"/>
      <c r="CA966" s="454"/>
      <c r="CB966" s="454"/>
      <c r="CC966" s="454"/>
      <c r="CD966" s="454"/>
      <c r="CE966" s="454"/>
      <c r="CF966" s="454"/>
      <c r="CG966" s="454"/>
      <c r="CH966" s="456"/>
      <c r="CI966" s="454"/>
      <c r="CJ966" s="454"/>
      <c r="CK966" s="454"/>
      <c r="CL966" s="454"/>
    </row>
    <row r="967" spans="1:90" s="461" customFormat="1" ht="12" customHeight="1" x14ac:dyDescent="0.15">
      <c r="A967" s="522" t="s">
        <v>3204</v>
      </c>
      <c r="B967" s="467">
        <v>42617</v>
      </c>
      <c r="C967" s="468" t="s">
        <v>3633</v>
      </c>
      <c r="D967" s="468" t="s">
        <v>3295</v>
      </c>
      <c r="E967" s="468" t="s">
        <v>4337</v>
      </c>
      <c r="F967" s="468" t="s">
        <v>1205</v>
      </c>
      <c r="G967" s="466">
        <v>5</v>
      </c>
      <c r="H967" s="465">
        <v>4</v>
      </c>
      <c r="I967" s="642"/>
      <c r="J967" s="642"/>
      <c r="K967" s="466">
        <v>6</v>
      </c>
      <c r="L967" s="525">
        <f>9/5</f>
        <v>1.8</v>
      </c>
      <c r="M967" s="463">
        <v>19000</v>
      </c>
      <c r="N967" s="468" t="s">
        <v>5614</v>
      </c>
      <c r="O967" s="466">
        <v>3</v>
      </c>
      <c r="P967" s="523">
        <v>-4.5</v>
      </c>
      <c r="Q967" s="462">
        <v>5.351851851851852E-4</v>
      </c>
      <c r="R967" s="463">
        <v>2717</v>
      </c>
      <c r="S967" s="466"/>
      <c r="T967" s="639" t="s">
        <v>3714</v>
      </c>
      <c r="W967" s="460"/>
      <c r="AY967" s="486" t="str">
        <f t="shared" ref="AY967:AY991" si="64">IF(S967="","",R967)</f>
        <v/>
      </c>
      <c r="AZ967" s="487" t="str">
        <f t="shared" ref="AZ967:AZ991" si="65">IF(F967="Pleasant Meadows","",IF(L967="","",IF(O967="--","",IF(O967=1,1,""))))</f>
        <v/>
      </c>
      <c r="CH967" s="459"/>
    </row>
    <row r="968" spans="1:90" s="461" customFormat="1" ht="12" customHeight="1" x14ac:dyDescent="0.15">
      <c r="A968" s="522" t="s">
        <v>4294</v>
      </c>
      <c r="B968" s="467">
        <v>42617</v>
      </c>
      <c r="C968" s="468" t="s">
        <v>3951</v>
      </c>
      <c r="D968" s="468" t="s">
        <v>4207</v>
      </c>
      <c r="E968" s="468" t="s">
        <v>5195</v>
      </c>
      <c r="F968" s="468" t="s">
        <v>4070</v>
      </c>
      <c r="G968" s="466">
        <v>7</v>
      </c>
      <c r="H968" s="465">
        <v>5</v>
      </c>
      <c r="I968" s="466"/>
      <c r="J968" s="466" t="s">
        <v>4366</v>
      </c>
      <c r="K968" s="466">
        <v>9</v>
      </c>
      <c r="L968" s="465" t="s">
        <v>431</v>
      </c>
      <c r="M968" s="463">
        <v>3081</v>
      </c>
      <c r="N968" s="468" t="s">
        <v>3348</v>
      </c>
      <c r="O968" s="466">
        <v>2</v>
      </c>
      <c r="P968" s="523">
        <v>-2.5</v>
      </c>
      <c r="Q968" s="462">
        <v>7.4722222222222236E-4</v>
      </c>
      <c r="R968" s="463">
        <v>457</v>
      </c>
      <c r="S968" s="466" t="s">
        <v>625</v>
      </c>
      <c r="T968" s="524"/>
      <c r="W968" s="460"/>
      <c r="AY968" s="486">
        <f t="shared" si="64"/>
        <v>457</v>
      </c>
      <c r="AZ968" s="487" t="str">
        <f t="shared" si="65"/>
        <v/>
      </c>
      <c r="CH968" s="459"/>
    </row>
    <row r="969" spans="1:90" s="461" customFormat="1" ht="12" customHeight="1" x14ac:dyDescent="0.15">
      <c r="A969" s="522" t="s">
        <v>5602</v>
      </c>
      <c r="B969" s="467">
        <v>42617</v>
      </c>
      <c r="C969" s="468" t="s">
        <v>3654</v>
      </c>
      <c r="D969" s="468" t="s">
        <v>3298</v>
      </c>
      <c r="E969" s="468" t="s">
        <v>3699</v>
      </c>
      <c r="F969" s="468" t="s">
        <v>3685</v>
      </c>
      <c r="G969" s="466">
        <v>8</v>
      </c>
      <c r="H969" s="465">
        <v>5.5</v>
      </c>
      <c r="I969" s="466"/>
      <c r="J969" s="466"/>
      <c r="K969" s="466">
        <v>14</v>
      </c>
      <c r="L969" s="525">
        <v>5</v>
      </c>
      <c r="M969" s="463">
        <v>2853</v>
      </c>
      <c r="N969" s="468" t="s">
        <v>5185</v>
      </c>
      <c r="O969" s="466">
        <v>5</v>
      </c>
      <c r="P969" s="523">
        <v>-8.25</v>
      </c>
      <c r="Q969" s="462">
        <v>7.822916666666667E-4</v>
      </c>
      <c r="R969" s="463">
        <v>114</v>
      </c>
      <c r="S969" s="466" t="s">
        <v>625</v>
      </c>
      <c r="T969" s="639"/>
      <c r="W969" s="460"/>
      <c r="AY969" s="486">
        <f t="shared" si="64"/>
        <v>114</v>
      </c>
      <c r="AZ969" s="487" t="str">
        <f t="shared" si="65"/>
        <v/>
      </c>
      <c r="CH969" s="459"/>
    </row>
    <row r="970" spans="1:90" s="461" customFormat="1" ht="12" customHeight="1" x14ac:dyDescent="0.15">
      <c r="A970" s="522" t="s">
        <v>2172</v>
      </c>
      <c r="B970" s="467">
        <v>42617</v>
      </c>
      <c r="C970" s="468" t="s">
        <v>3707</v>
      </c>
      <c r="D970" s="468" t="s">
        <v>3708</v>
      </c>
      <c r="E970" s="468" t="s">
        <v>5335</v>
      </c>
      <c r="F970" s="468" t="s">
        <v>4077</v>
      </c>
      <c r="G970" s="466">
        <v>6</v>
      </c>
      <c r="H970" s="465">
        <v>6.5</v>
      </c>
      <c r="I970" s="466"/>
      <c r="J970" s="466"/>
      <c r="K970" s="466">
        <v>7</v>
      </c>
      <c r="L970" s="525">
        <f>7/2</f>
        <v>3.5</v>
      </c>
      <c r="M970" s="463">
        <v>3500</v>
      </c>
      <c r="N970" s="468" t="s">
        <v>4717</v>
      </c>
      <c r="O970" s="466">
        <v>2</v>
      </c>
      <c r="P970" s="523"/>
      <c r="Q970" s="462"/>
      <c r="R970" s="463">
        <f>0.2*M970</f>
        <v>700</v>
      </c>
      <c r="S970" s="466" t="s">
        <v>625</v>
      </c>
      <c r="T970" s="639"/>
      <c r="W970" s="460"/>
      <c r="AY970" s="486">
        <f t="shared" si="64"/>
        <v>700</v>
      </c>
      <c r="AZ970" s="487" t="str">
        <f t="shared" si="65"/>
        <v/>
      </c>
      <c r="CH970" s="459"/>
    </row>
    <row r="971" spans="1:90" s="469" customFormat="1" ht="12" customHeight="1" x14ac:dyDescent="0.15">
      <c r="A971" s="471" t="s">
        <v>4621</v>
      </c>
      <c r="B971" s="472">
        <v>42617</v>
      </c>
      <c r="C971" s="471" t="s">
        <v>4908</v>
      </c>
      <c r="D971" s="471" t="s">
        <v>3892</v>
      </c>
      <c r="E971" s="471" t="s">
        <v>5110</v>
      </c>
      <c r="F971" s="471" t="s">
        <v>540</v>
      </c>
      <c r="G971" s="473">
        <v>10</v>
      </c>
      <c r="H971" s="474">
        <v>5.5</v>
      </c>
      <c r="I971" s="475" t="s">
        <v>3730</v>
      </c>
      <c r="J971" s="475"/>
      <c r="K971" s="473">
        <v>12</v>
      </c>
      <c r="L971" s="458">
        <v>20</v>
      </c>
      <c r="M971" s="476">
        <v>18000</v>
      </c>
      <c r="N971" s="471" t="s">
        <v>4910</v>
      </c>
      <c r="O971" s="637" t="s">
        <v>431</v>
      </c>
      <c r="P971" s="478" t="s">
        <v>431</v>
      </c>
      <c r="Q971" s="479" t="s">
        <v>431</v>
      </c>
      <c r="R971" s="480" t="s">
        <v>431</v>
      </c>
      <c r="S971" s="477"/>
      <c r="T971" s="481" t="s">
        <v>3885</v>
      </c>
      <c r="U971" s="482"/>
      <c r="V971" s="482"/>
      <c r="W971" s="483"/>
      <c r="X971" s="482"/>
      <c r="Y971" s="482"/>
      <c r="Z971" s="482"/>
      <c r="AA971" s="482"/>
      <c r="AB971" s="482"/>
      <c r="AC971" s="482"/>
      <c r="AD971" s="482"/>
      <c r="AE971" s="482"/>
      <c r="AF971" s="482"/>
      <c r="AG971" s="482"/>
      <c r="AH971" s="482"/>
      <c r="AI971" s="482"/>
      <c r="AJ971" s="482"/>
      <c r="AK971" s="482"/>
      <c r="AL971" s="482"/>
      <c r="AM971" s="482"/>
      <c r="AN971" s="482"/>
      <c r="AO971" s="482"/>
      <c r="AP971" s="482"/>
      <c r="AQ971" s="482"/>
      <c r="AR971" s="482"/>
      <c r="AS971" s="482"/>
      <c r="AT971" s="482"/>
      <c r="AU971" s="482"/>
      <c r="AV971" s="482"/>
      <c r="AW971" s="482"/>
      <c r="AX971" s="482"/>
      <c r="AY971" s="486" t="str">
        <f t="shared" si="64"/>
        <v/>
      </c>
      <c r="AZ971" s="487" t="str">
        <f t="shared" si="65"/>
        <v/>
      </c>
      <c r="BA971" s="482"/>
      <c r="BB971" s="482"/>
      <c r="BC971" s="482"/>
      <c r="BD971" s="482"/>
      <c r="BE971" s="482"/>
      <c r="BF971" s="482"/>
      <c r="BG971" s="482"/>
      <c r="BH971" s="482"/>
      <c r="BI971" s="482"/>
      <c r="BJ971" s="482"/>
      <c r="BK971" s="482"/>
      <c r="BL971" s="482"/>
      <c r="BM971" s="482"/>
      <c r="BN971" s="482"/>
      <c r="BO971" s="482"/>
      <c r="BP971" s="482"/>
      <c r="BQ971" s="482"/>
      <c r="BR971" s="482"/>
      <c r="BS971" s="482"/>
      <c r="BT971" s="482"/>
      <c r="BU971" s="482"/>
      <c r="BV971" s="482"/>
      <c r="BW971" s="482"/>
      <c r="BX971" s="482"/>
      <c r="BY971" s="482"/>
      <c r="BZ971" s="482"/>
      <c r="CA971" s="482"/>
      <c r="CB971" s="482"/>
      <c r="CC971" s="482"/>
      <c r="CD971" s="482"/>
      <c r="CE971" s="482"/>
      <c r="CF971" s="482"/>
      <c r="CG971" s="482"/>
      <c r="CH971" s="484"/>
    </row>
    <row r="972" spans="1:90" s="461" customFormat="1" ht="12" customHeight="1" x14ac:dyDescent="0.15">
      <c r="A972" s="522" t="s">
        <v>33</v>
      </c>
      <c r="B972" s="467">
        <v>42618</v>
      </c>
      <c r="C972" s="468" t="s">
        <v>3715</v>
      </c>
      <c r="D972" s="468" t="s">
        <v>3716</v>
      </c>
      <c r="E972" s="468" t="s">
        <v>5310</v>
      </c>
      <c r="F972" s="468" t="s">
        <v>1196</v>
      </c>
      <c r="G972" s="466">
        <v>2</v>
      </c>
      <c r="H972" s="465">
        <v>8</v>
      </c>
      <c r="I972" s="466"/>
      <c r="J972" s="466"/>
      <c r="K972" s="466">
        <v>7</v>
      </c>
      <c r="L972" s="525">
        <f>9/2</f>
        <v>4.5</v>
      </c>
      <c r="M972" s="463">
        <v>11000</v>
      </c>
      <c r="N972" s="468" t="s">
        <v>197</v>
      </c>
      <c r="O972" s="466">
        <v>5</v>
      </c>
      <c r="P972" s="523">
        <v>-4.75</v>
      </c>
      <c r="Q972" s="462">
        <v>1.1317129629629631E-3</v>
      </c>
      <c r="R972" s="463">
        <v>330</v>
      </c>
      <c r="S972" s="466"/>
      <c r="T972" s="639"/>
      <c r="W972" s="460"/>
      <c r="AY972" s="486" t="str">
        <f t="shared" si="64"/>
        <v/>
      </c>
      <c r="AZ972" s="487" t="str">
        <f t="shared" si="65"/>
        <v/>
      </c>
      <c r="CH972" s="459"/>
    </row>
    <row r="973" spans="1:90" s="461" customFormat="1" ht="12" customHeight="1" x14ac:dyDescent="0.15">
      <c r="A973" s="522" t="s">
        <v>36</v>
      </c>
      <c r="B973" s="467">
        <v>42618</v>
      </c>
      <c r="C973" s="468" t="s">
        <v>5611</v>
      </c>
      <c r="D973" s="468" t="s">
        <v>5612</v>
      </c>
      <c r="E973" s="468" t="s">
        <v>5613</v>
      </c>
      <c r="F973" s="468" t="s">
        <v>1836</v>
      </c>
      <c r="G973" s="466">
        <v>5</v>
      </c>
      <c r="H973" s="465">
        <v>6</v>
      </c>
      <c r="I973" s="466"/>
      <c r="J973" s="466"/>
      <c r="K973" s="466">
        <v>8</v>
      </c>
      <c r="L973" s="525">
        <v>6</v>
      </c>
      <c r="M973" s="463">
        <v>15000</v>
      </c>
      <c r="N973" s="468" t="s">
        <v>5618</v>
      </c>
      <c r="O973" s="466">
        <v>2</v>
      </c>
      <c r="P973" s="523">
        <v>-2.5</v>
      </c>
      <c r="Q973" s="462">
        <v>8.0138888888888881E-4</v>
      </c>
      <c r="R973" s="463">
        <v>3300</v>
      </c>
      <c r="S973" s="466"/>
      <c r="T973" s="639" t="s">
        <v>5658</v>
      </c>
      <c r="W973" s="460"/>
      <c r="AY973" s="486" t="str">
        <f t="shared" si="64"/>
        <v/>
      </c>
      <c r="AZ973" s="487" t="str">
        <f t="shared" si="65"/>
        <v/>
      </c>
      <c r="CH973" s="459"/>
    </row>
    <row r="974" spans="1:90" s="469" customFormat="1" ht="12" customHeight="1" x14ac:dyDescent="0.15">
      <c r="A974" s="471" t="s">
        <v>2276</v>
      </c>
      <c r="B974" s="472">
        <v>42618</v>
      </c>
      <c r="C974" s="471" t="s">
        <v>1786</v>
      </c>
      <c r="D974" s="471" t="s">
        <v>4257</v>
      </c>
      <c r="E974" s="471" t="s">
        <v>4485</v>
      </c>
      <c r="F974" s="471" t="s">
        <v>881</v>
      </c>
      <c r="G974" s="473">
        <v>6</v>
      </c>
      <c r="H974" s="474">
        <v>7.5</v>
      </c>
      <c r="I974" s="475" t="s">
        <v>3730</v>
      </c>
      <c r="J974" s="475"/>
      <c r="K974" s="473">
        <v>9</v>
      </c>
      <c r="L974" s="458">
        <f>9/2</f>
        <v>4.5</v>
      </c>
      <c r="M974" s="476">
        <v>19000</v>
      </c>
      <c r="N974" s="471" t="s">
        <v>4902</v>
      </c>
      <c r="O974" s="637" t="s">
        <v>431</v>
      </c>
      <c r="P974" s="478" t="s">
        <v>431</v>
      </c>
      <c r="Q974" s="479" t="s">
        <v>431</v>
      </c>
      <c r="R974" s="480" t="s">
        <v>431</v>
      </c>
      <c r="S974" s="477"/>
      <c r="T974" s="481" t="s">
        <v>3885</v>
      </c>
      <c r="U974" s="482"/>
      <c r="V974" s="482"/>
      <c r="W974" s="483"/>
      <c r="X974" s="482"/>
      <c r="Y974" s="482"/>
      <c r="Z974" s="482"/>
      <c r="AA974" s="482"/>
      <c r="AB974" s="482"/>
      <c r="AC974" s="482"/>
      <c r="AD974" s="482"/>
      <c r="AE974" s="482"/>
      <c r="AF974" s="482"/>
      <c r="AG974" s="482"/>
      <c r="AH974" s="482"/>
      <c r="AI974" s="482"/>
      <c r="AJ974" s="482"/>
      <c r="AK974" s="482"/>
      <c r="AL974" s="482"/>
      <c r="AM974" s="482"/>
      <c r="AN974" s="482"/>
      <c r="AO974" s="482"/>
      <c r="AP974" s="482"/>
      <c r="AQ974" s="482"/>
      <c r="AR974" s="482"/>
      <c r="AS974" s="482"/>
      <c r="AT974" s="482"/>
      <c r="AU974" s="482"/>
      <c r="AV974" s="482"/>
      <c r="AW974" s="482"/>
      <c r="AX974" s="482"/>
      <c r="AY974" s="486" t="str">
        <f t="shared" si="64"/>
        <v/>
      </c>
      <c r="AZ974" s="487" t="str">
        <f t="shared" si="65"/>
        <v/>
      </c>
      <c r="BA974" s="482"/>
      <c r="BB974" s="482"/>
      <c r="BC974" s="482"/>
      <c r="BD974" s="482"/>
      <c r="BE974" s="482"/>
      <c r="BF974" s="482"/>
      <c r="BG974" s="482"/>
      <c r="BH974" s="482"/>
      <c r="BI974" s="482"/>
      <c r="BJ974" s="482"/>
      <c r="BK974" s="482"/>
      <c r="BL974" s="482"/>
      <c r="BM974" s="482"/>
      <c r="BN974" s="482"/>
      <c r="BO974" s="482"/>
      <c r="BP974" s="482"/>
      <c r="BQ974" s="482"/>
      <c r="BR974" s="482"/>
      <c r="BS974" s="482"/>
      <c r="BT974" s="482"/>
      <c r="BU974" s="482"/>
      <c r="BV974" s="482"/>
      <c r="BW974" s="482"/>
      <c r="BX974" s="482"/>
      <c r="BY974" s="482"/>
      <c r="BZ974" s="482"/>
      <c r="CA974" s="482"/>
      <c r="CB974" s="482"/>
      <c r="CC974" s="482"/>
      <c r="CD974" s="482"/>
      <c r="CE974" s="482"/>
      <c r="CF974" s="482"/>
      <c r="CG974" s="482"/>
      <c r="CH974" s="484"/>
    </row>
    <row r="975" spans="1:90" s="461" customFormat="1" ht="12" customHeight="1" x14ac:dyDescent="0.15">
      <c r="A975" s="522" t="s">
        <v>351</v>
      </c>
      <c r="B975" s="467">
        <v>42618</v>
      </c>
      <c r="C975" s="468" t="s">
        <v>4845</v>
      </c>
      <c r="D975" s="468" t="s">
        <v>4841</v>
      </c>
      <c r="E975" s="468" t="s">
        <v>4842</v>
      </c>
      <c r="F975" s="468" t="s">
        <v>4843</v>
      </c>
      <c r="G975" s="466">
        <v>5</v>
      </c>
      <c r="H975" s="465">
        <v>7</v>
      </c>
      <c r="I975" s="466"/>
      <c r="J975" s="466"/>
      <c r="K975" s="466">
        <v>6</v>
      </c>
      <c r="L975" s="525">
        <v>3</v>
      </c>
      <c r="M975" s="463">
        <v>5926</v>
      </c>
      <c r="N975" s="468" t="s">
        <v>5432</v>
      </c>
      <c r="O975" s="466">
        <v>2</v>
      </c>
      <c r="P975" s="555" t="s">
        <v>1202</v>
      </c>
      <c r="Q975" s="462">
        <v>1.0277777777777778E-3</v>
      </c>
      <c r="R975" s="463">
        <v>1186</v>
      </c>
      <c r="S975" s="466"/>
      <c r="T975" s="639"/>
      <c r="W975" s="460"/>
      <c r="AY975" s="486" t="str">
        <f t="shared" si="64"/>
        <v/>
      </c>
      <c r="AZ975" s="487" t="str">
        <f t="shared" si="65"/>
        <v/>
      </c>
      <c r="CH975" s="459"/>
    </row>
    <row r="976" spans="1:90" s="461" customFormat="1" ht="12" customHeight="1" x14ac:dyDescent="0.15">
      <c r="A976" s="522" t="s">
        <v>2278</v>
      </c>
      <c r="B976" s="467">
        <v>42619</v>
      </c>
      <c r="C976" s="468" t="s">
        <v>4747</v>
      </c>
      <c r="D976" s="468" t="s">
        <v>4742</v>
      </c>
      <c r="E976" s="468" t="s">
        <v>4968</v>
      </c>
      <c r="F976" s="468" t="s">
        <v>4828</v>
      </c>
      <c r="G976" s="466">
        <v>5</v>
      </c>
      <c r="H976" s="465">
        <v>6.5</v>
      </c>
      <c r="I976" s="466" t="s">
        <v>1360</v>
      </c>
      <c r="J976" s="466"/>
      <c r="K976" s="466">
        <v>6</v>
      </c>
      <c r="L976" s="525">
        <v>6</v>
      </c>
      <c r="M976" s="463">
        <v>15000</v>
      </c>
      <c r="N976" s="468" t="s">
        <v>4910</v>
      </c>
      <c r="O976" s="466">
        <v>3</v>
      </c>
      <c r="P976" s="523">
        <v>-1.5</v>
      </c>
      <c r="Q976" s="462">
        <v>9.119212962962962E-4</v>
      </c>
      <c r="R976" s="463">
        <v>1500</v>
      </c>
      <c r="S976" s="466"/>
      <c r="T976" s="639"/>
      <c r="W976" s="460"/>
      <c r="AY976" s="486" t="str">
        <f t="shared" si="64"/>
        <v/>
      </c>
      <c r="AZ976" s="487" t="str">
        <f t="shared" si="65"/>
        <v/>
      </c>
      <c r="CH976" s="459"/>
    </row>
    <row r="977" spans="1:90" s="461" customFormat="1" ht="12" customHeight="1" x14ac:dyDescent="0.15">
      <c r="A977" s="522" t="s">
        <v>1672</v>
      </c>
      <c r="B977" s="467">
        <v>42619</v>
      </c>
      <c r="C977" s="468" t="s">
        <v>5629</v>
      </c>
      <c r="D977" s="468" t="s">
        <v>5630</v>
      </c>
      <c r="E977" s="468" t="s">
        <v>4659</v>
      </c>
      <c r="F977" s="468" t="s">
        <v>2377</v>
      </c>
      <c r="G977" s="466">
        <v>5</v>
      </c>
      <c r="H977" s="465">
        <v>8.3000000000000007</v>
      </c>
      <c r="I977" s="466"/>
      <c r="J977" s="466"/>
      <c r="K977" s="466">
        <v>8</v>
      </c>
      <c r="L977" s="525">
        <v>5</v>
      </c>
      <c r="M977" s="463">
        <v>6300</v>
      </c>
      <c r="N977" s="468" t="s">
        <v>197</v>
      </c>
      <c r="O977" s="466">
        <v>5</v>
      </c>
      <c r="P977" s="523">
        <v>-8</v>
      </c>
      <c r="Q977" s="462">
        <v>1.2333333333333335E-3</v>
      </c>
      <c r="R977" s="463">
        <v>126</v>
      </c>
      <c r="S977" s="466"/>
      <c r="T977" s="639"/>
      <c r="W977" s="460"/>
      <c r="AY977" s="486" t="str">
        <f t="shared" si="64"/>
        <v/>
      </c>
      <c r="AZ977" s="487" t="str">
        <f t="shared" si="65"/>
        <v/>
      </c>
      <c r="CH977" s="459"/>
    </row>
    <row r="978" spans="1:90" s="461" customFormat="1" ht="12" customHeight="1" x14ac:dyDescent="0.15">
      <c r="A978" s="522" t="s">
        <v>3629</v>
      </c>
      <c r="B978" s="467">
        <v>42620</v>
      </c>
      <c r="C978" s="468" t="s">
        <v>3704</v>
      </c>
      <c r="D978" s="468" t="s">
        <v>3705</v>
      </c>
      <c r="E978" s="468" t="s">
        <v>5191</v>
      </c>
      <c r="F978" s="468" t="s">
        <v>881</v>
      </c>
      <c r="G978" s="466">
        <v>5</v>
      </c>
      <c r="H978" s="465">
        <v>6</v>
      </c>
      <c r="I978" s="466"/>
      <c r="J978" s="466"/>
      <c r="K978" s="466">
        <v>8</v>
      </c>
      <c r="L978" s="525">
        <f>7/2</f>
        <v>3.5</v>
      </c>
      <c r="M978" s="463">
        <v>26000</v>
      </c>
      <c r="N978" s="468" t="s">
        <v>5219</v>
      </c>
      <c r="O978" s="466">
        <v>5</v>
      </c>
      <c r="P978" s="523">
        <v>-9.75</v>
      </c>
      <c r="Q978" s="462">
        <v>8.3518518518518501E-4</v>
      </c>
      <c r="R978" s="463">
        <v>780</v>
      </c>
      <c r="S978" s="466"/>
      <c r="T978" s="639" t="s">
        <v>3755</v>
      </c>
      <c r="W978" s="460"/>
      <c r="AY978" s="486" t="str">
        <f t="shared" si="64"/>
        <v/>
      </c>
      <c r="AZ978" s="487" t="str">
        <f t="shared" si="65"/>
        <v/>
      </c>
      <c r="CH978" s="459"/>
    </row>
    <row r="979" spans="1:90" s="461" customFormat="1" ht="12" customHeight="1" x14ac:dyDescent="0.15">
      <c r="A979" s="522" t="s">
        <v>1381</v>
      </c>
      <c r="B979" s="467">
        <v>42620</v>
      </c>
      <c r="C979" s="468" t="s">
        <v>4512</v>
      </c>
      <c r="D979" s="468" t="s">
        <v>5400</v>
      </c>
      <c r="E979" s="468" t="s">
        <v>5401</v>
      </c>
      <c r="F979" s="468" t="s">
        <v>2377</v>
      </c>
      <c r="G979" s="466">
        <v>1</v>
      </c>
      <c r="H979" s="465">
        <v>7</v>
      </c>
      <c r="I979" s="466" t="s">
        <v>959</v>
      </c>
      <c r="J979" s="466"/>
      <c r="K979" s="466">
        <v>4</v>
      </c>
      <c r="L979" s="525">
        <v>5</v>
      </c>
      <c r="M979" s="463">
        <v>8900</v>
      </c>
      <c r="N979" s="468" t="s">
        <v>197</v>
      </c>
      <c r="O979" s="466">
        <v>4</v>
      </c>
      <c r="P979" s="523">
        <v>-16.75</v>
      </c>
      <c r="Q979" s="462">
        <v>8.4050925925925916E-4</v>
      </c>
      <c r="R979" s="463">
        <v>445</v>
      </c>
      <c r="S979" s="466"/>
      <c r="T979" s="639"/>
      <c r="W979" s="460"/>
      <c r="AY979" s="486" t="str">
        <f t="shared" si="64"/>
        <v/>
      </c>
      <c r="AZ979" s="487" t="str">
        <f t="shared" si="65"/>
        <v/>
      </c>
      <c r="CH979" s="459"/>
    </row>
    <row r="980" spans="1:90" s="461" customFormat="1" ht="12" customHeight="1" x14ac:dyDescent="0.15">
      <c r="A980" s="522" t="s">
        <v>4548</v>
      </c>
      <c r="B980" s="467">
        <v>42620</v>
      </c>
      <c r="C980" s="468" t="s">
        <v>4658</v>
      </c>
      <c r="D980" s="468" t="s">
        <v>4657</v>
      </c>
      <c r="E980" s="468" t="s">
        <v>5375</v>
      </c>
      <c r="F980" s="468" t="s">
        <v>2377</v>
      </c>
      <c r="G980" s="466">
        <v>5</v>
      </c>
      <c r="H980" s="465">
        <v>5.5</v>
      </c>
      <c r="I980" s="466"/>
      <c r="J980" s="466"/>
      <c r="K980" s="466">
        <v>7</v>
      </c>
      <c r="L980" s="525">
        <v>15</v>
      </c>
      <c r="M980" s="463">
        <v>6300</v>
      </c>
      <c r="N980" s="468" t="s">
        <v>197</v>
      </c>
      <c r="O980" s="466">
        <v>7</v>
      </c>
      <c r="P980" s="523">
        <v>-9.25</v>
      </c>
      <c r="Q980" s="462">
        <v>7.9351851851851849E-4</v>
      </c>
      <c r="R980" s="463">
        <v>63</v>
      </c>
      <c r="S980" s="466"/>
      <c r="T980" s="639"/>
      <c r="W980" s="460"/>
      <c r="AY980" s="486" t="str">
        <f t="shared" si="64"/>
        <v/>
      </c>
      <c r="AZ980" s="487" t="str">
        <f t="shared" si="65"/>
        <v/>
      </c>
      <c r="CH980" s="459"/>
    </row>
    <row r="981" spans="1:90" s="461" customFormat="1" ht="12" customHeight="1" x14ac:dyDescent="0.15">
      <c r="A981" s="522" t="s">
        <v>3064</v>
      </c>
      <c r="B981" s="467">
        <v>42621</v>
      </c>
      <c r="C981" s="468" t="s">
        <v>2511</v>
      </c>
      <c r="D981" s="468" t="s">
        <v>5471</v>
      </c>
      <c r="E981" s="468" t="s">
        <v>3228</v>
      </c>
      <c r="F981" s="468" t="s">
        <v>881</v>
      </c>
      <c r="G981" s="466">
        <v>3</v>
      </c>
      <c r="H981" s="465">
        <v>8</v>
      </c>
      <c r="I981" s="466"/>
      <c r="J981" s="466"/>
      <c r="K981" s="466">
        <v>7</v>
      </c>
      <c r="L981" s="525">
        <v>2</v>
      </c>
      <c r="M981" s="463">
        <v>14000</v>
      </c>
      <c r="N981" s="468" t="s">
        <v>5655</v>
      </c>
      <c r="O981" s="466">
        <v>2</v>
      </c>
      <c r="P981" s="523">
        <v>-2.75</v>
      </c>
      <c r="Q981" s="462">
        <v>1.1604166666666666E-3</v>
      </c>
      <c r="R981" s="463">
        <v>2800</v>
      </c>
      <c r="S981" s="466"/>
      <c r="T981" s="639"/>
      <c r="W981" s="460"/>
      <c r="AY981" s="486" t="str">
        <f t="shared" si="64"/>
        <v/>
      </c>
      <c r="AZ981" s="487" t="str">
        <f t="shared" si="65"/>
        <v/>
      </c>
      <c r="CH981" s="459"/>
    </row>
    <row r="982" spans="1:90" s="461" customFormat="1" ht="12" customHeight="1" x14ac:dyDescent="0.15">
      <c r="A982" s="522" t="s">
        <v>3318</v>
      </c>
      <c r="B982" s="467">
        <v>42621</v>
      </c>
      <c r="C982" s="468" t="s">
        <v>4630</v>
      </c>
      <c r="D982" s="468" t="s">
        <v>4631</v>
      </c>
      <c r="E982" s="468" t="s">
        <v>5657</v>
      </c>
      <c r="F982" s="468" t="s">
        <v>2332</v>
      </c>
      <c r="G982" s="466">
        <v>5</v>
      </c>
      <c r="H982" s="465">
        <v>5</v>
      </c>
      <c r="I982" s="466" t="s">
        <v>3730</v>
      </c>
      <c r="J982" s="466"/>
      <c r="K982" s="466">
        <v>9</v>
      </c>
      <c r="L982" s="525">
        <v>3</v>
      </c>
      <c r="M982" s="463">
        <v>14300</v>
      </c>
      <c r="N982" s="468" t="s">
        <v>4633</v>
      </c>
      <c r="O982" s="466">
        <v>8</v>
      </c>
      <c r="P982" s="523">
        <v>-10.25</v>
      </c>
      <c r="Q982" s="462">
        <v>6.7256944444444449E-4</v>
      </c>
      <c r="R982" s="463">
        <v>143</v>
      </c>
      <c r="S982" s="466"/>
      <c r="T982" s="639" t="s">
        <v>3714</v>
      </c>
      <c r="W982" s="460"/>
      <c r="AY982" s="486" t="str">
        <f t="shared" si="64"/>
        <v/>
      </c>
      <c r="AZ982" s="487" t="str">
        <f t="shared" si="65"/>
        <v/>
      </c>
      <c r="CH982" s="459"/>
    </row>
    <row r="983" spans="1:90" s="469" customFormat="1" ht="12" customHeight="1" x14ac:dyDescent="0.15">
      <c r="A983" s="444" t="s">
        <v>2166</v>
      </c>
      <c r="B983" s="445">
        <v>42621</v>
      </c>
      <c r="C983" s="446" t="s">
        <v>4886</v>
      </c>
      <c r="D983" s="446" t="s">
        <v>5628</v>
      </c>
      <c r="E983" s="446" t="s">
        <v>3788</v>
      </c>
      <c r="F983" s="446" t="s">
        <v>2376</v>
      </c>
      <c r="G983" s="447">
        <v>2</v>
      </c>
      <c r="H983" s="448">
        <v>8.3000000000000007</v>
      </c>
      <c r="I983" s="447" t="s">
        <v>3730</v>
      </c>
      <c r="J983" s="447"/>
      <c r="K983" s="447">
        <v>8</v>
      </c>
      <c r="L983" s="449">
        <f>5/2</f>
        <v>2.5</v>
      </c>
      <c r="M983" s="450">
        <v>29500</v>
      </c>
      <c r="N983" s="446" t="s">
        <v>4296</v>
      </c>
      <c r="O983" s="447">
        <v>1</v>
      </c>
      <c r="P983" s="451">
        <v>4</v>
      </c>
      <c r="Q983" s="452">
        <v>1.1517361111111112E-3</v>
      </c>
      <c r="R983" s="450">
        <v>21240</v>
      </c>
      <c r="S983" s="447"/>
      <c r="T983" s="453" t="s">
        <v>3714</v>
      </c>
      <c r="U983" s="454"/>
      <c r="V983" s="454"/>
      <c r="W983" s="455"/>
      <c r="X983" s="454"/>
      <c r="Y983" s="454"/>
      <c r="Z983" s="454"/>
      <c r="AA983" s="454"/>
      <c r="AB983" s="454"/>
      <c r="AC983" s="454"/>
      <c r="AD983" s="454"/>
      <c r="AE983" s="454"/>
      <c r="AF983" s="454"/>
      <c r="AG983" s="454"/>
      <c r="AH983" s="454"/>
      <c r="AI983" s="454"/>
      <c r="AJ983" s="454"/>
      <c r="AK983" s="454"/>
      <c r="AL983" s="454"/>
      <c r="AM983" s="454"/>
      <c r="AN983" s="454"/>
      <c r="AO983" s="454"/>
      <c r="AP983" s="454"/>
      <c r="AQ983" s="454"/>
      <c r="AR983" s="454"/>
      <c r="AS983" s="454"/>
      <c r="AT983" s="454"/>
      <c r="AU983" s="454"/>
      <c r="AV983" s="454"/>
      <c r="AW983" s="454"/>
      <c r="AX983" s="454"/>
      <c r="AY983" s="486" t="str">
        <f t="shared" si="64"/>
        <v/>
      </c>
      <c r="AZ983" s="487">
        <f t="shared" si="65"/>
        <v>1</v>
      </c>
      <c r="BA983" s="454"/>
      <c r="BB983" s="454"/>
      <c r="BC983" s="454"/>
      <c r="BD983" s="454"/>
      <c r="BE983" s="454"/>
      <c r="BF983" s="454"/>
      <c r="BG983" s="454"/>
      <c r="BH983" s="454"/>
      <c r="BI983" s="454"/>
      <c r="BJ983" s="454"/>
      <c r="BK983" s="454"/>
      <c r="BL983" s="454"/>
      <c r="BM983" s="454"/>
      <c r="BN983" s="454"/>
      <c r="BO983" s="454"/>
      <c r="BP983" s="454"/>
      <c r="BQ983" s="454"/>
      <c r="BR983" s="454"/>
      <c r="BS983" s="454"/>
      <c r="BT983" s="454"/>
      <c r="BU983" s="454"/>
      <c r="BV983" s="454"/>
      <c r="BW983" s="454"/>
      <c r="BX983" s="454"/>
      <c r="BY983" s="454"/>
      <c r="BZ983" s="454"/>
      <c r="CA983" s="454"/>
      <c r="CB983" s="454"/>
      <c r="CC983" s="454"/>
      <c r="CD983" s="454"/>
      <c r="CE983" s="454"/>
      <c r="CF983" s="454"/>
      <c r="CG983" s="454"/>
      <c r="CH983" s="456"/>
      <c r="CI983" s="454"/>
      <c r="CJ983" s="454"/>
      <c r="CK983" s="454"/>
      <c r="CL983" s="454"/>
    </row>
    <row r="984" spans="1:90" s="461" customFormat="1" ht="12" customHeight="1" x14ac:dyDescent="0.15">
      <c r="A984" s="522" t="s">
        <v>1953</v>
      </c>
      <c r="B984" s="467">
        <v>42621</v>
      </c>
      <c r="C984" s="468" t="s">
        <v>4719</v>
      </c>
      <c r="D984" s="468" t="s">
        <v>4860</v>
      </c>
      <c r="E984" s="468" t="s">
        <v>4979</v>
      </c>
      <c r="F984" s="468" t="s">
        <v>2376</v>
      </c>
      <c r="G984" s="466">
        <v>2</v>
      </c>
      <c r="H984" s="465">
        <v>8.3000000000000007</v>
      </c>
      <c r="I984" s="466" t="s">
        <v>3730</v>
      </c>
      <c r="J984" s="466"/>
      <c r="K984" s="466">
        <v>8</v>
      </c>
      <c r="L984" s="525">
        <f>9/2</f>
        <v>4.5</v>
      </c>
      <c r="M984" s="463">
        <v>29500</v>
      </c>
      <c r="N984" s="468" t="s">
        <v>4296</v>
      </c>
      <c r="O984" s="466">
        <v>2</v>
      </c>
      <c r="P984" s="523">
        <v>-4</v>
      </c>
      <c r="Q984" s="462">
        <v>1.1517361111111112E-3</v>
      </c>
      <c r="R984" s="463">
        <v>7080</v>
      </c>
      <c r="S984" s="466"/>
      <c r="T984" s="639"/>
      <c r="W984" s="460"/>
      <c r="AY984" s="486" t="str">
        <f t="shared" ref="AY984:AY1038" si="66">IF(S984="","",R984)</f>
        <v/>
      </c>
      <c r="AZ984" s="487" t="str">
        <f t="shared" ref="AZ984:AZ1038" si="67">IF(F984="Pleasant Meadows","",IF(L984="","",IF(O984="--","",IF(O984=1,1,""))))</f>
        <v/>
      </c>
      <c r="CH984" s="459"/>
    </row>
    <row r="985" spans="1:90" s="461" customFormat="1" ht="12" customHeight="1" x14ac:dyDescent="0.15">
      <c r="A985" s="522" t="s">
        <v>2176</v>
      </c>
      <c r="B985" s="467">
        <v>42621</v>
      </c>
      <c r="C985" s="468" t="s">
        <v>4594</v>
      </c>
      <c r="D985" s="468" t="s">
        <v>4595</v>
      </c>
      <c r="E985" s="468" t="s">
        <v>4490</v>
      </c>
      <c r="F985" s="468" t="s">
        <v>2376</v>
      </c>
      <c r="G985" s="466">
        <v>4</v>
      </c>
      <c r="H985" s="465">
        <v>8</v>
      </c>
      <c r="I985" s="466"/>
      <c r="J985" s="466"/>
      <c r="K985" s="466">
        <v>8</v>
      </c>
      <c r="L985" s="525">
        <v>6</v>
      </c>
      <c r="M985" s="463">
        <v>11400</v>
      </c>
      <c r="N985" s="468" t="s">
        <v>197</v>
      </c>
      <c r="O985" s="466">
        <v>6</v>
      </c>
      <c r="P985" s="523">
        <v>-12</v>
      </c>
      <c r="Q985" s="462">
        <v>1.1743055555555556E-3</v>
      </c>
      <c r="R985" s="463">
        <v>0</v>
      </c>
      <c r="S985" s="466"/>
      <c r="T985" s="639"/>
      <c r="W985" s="460"/>
      <c r="AY985" s="486" t="str">
        <f t="shared" si="66"/>
        <v/>
      </c>
      <c r="AZ985" s="487" t="str">
        <f t="shared" si="67"/>
        <v/>
      </c>
      <c r="CH985" s="459"/>
    </row>
    <row r="986" spans="1:90" s="469" customFormat="1" ht="12" customHeight="1" x14ac:dyDescent="0.15">
      <c r="A986" s="444" t="s">
        <v>3369</v>
      </c>
      <c r="B986" s="445">
        <v>42622</v>
      </c>
      <c r="C986" s="446" t="s">
        <v>3370</v>
      </c>
      <c r="D986" s="446" t="s">
        <v>3902</v>
      </c>
      <c r="E986" s="446" t="s">
        <v>4712</v>
      </c>
      <c r="F986" s="446" t="s">
        <v>3686</v>
      </c>
      <c r="G986" s="447">
        <v>3</v>
      </c>
      <c r="H986" s="448">
        <v>6</v>
      </c>
      <c r="I986" s="447"/>
      <c r="J986" s="447"/>
      <c r="K986" s="447">
        <v>8</v>
      </c>
      <c r="L986" s="449">
        <v>3</v>
      </c>
      <c r="M986" s="450">
        <v>5626</v>
      </c>
      <c r="N986" s="446" t="s">
        <v>3739</v>
      </c>
      <c r="O986" s="447">
        <v>1</v>
      </c>
      <c r="P986" s="451">
        <v>8</v>
      </c>
      <c r="Q986" s="452">
        <v>8.2106481481481473E-4</v>
      </c>
      <c r="R986" s="450">
        <v>3310</v>
      </c>
      <c r="S986" s="447" t="s">
        <v>625</v>
      </c>
      <c r="T986" s="453" t="s">
        <v>3714</v>
      </c>
      <c r="U986" s="454"/>
      <c r="V986" s="454"/>
      <c r="W986" s="455"/>
      <c r="X986" s="454"/>
      <c r="Y986" s="454"/>
      <c r="Z986" s="454"/>
      <c r="AA986" s="454"/>
      <c r="AB986" s="454"/>
      <c r="AC986" s="454"/>
      <c r="AD986" s="454"/>
      <c r="AE986" s="454"/>
      <c r="AF986" s="454"/>
      <c r="AG986" s="454"/>
      <c r="AH986" s="454"/>
      <c r="AI986" s="454"/>
      <c r="AJ986" s="454"/>
      <c r="AK986" s="454"/>
      <c r="AL986" s="454"/>
      <c r="AM986" s="454"/>
      <c r="AN986" s="454"/>
      <c r="AO986" s="454"/>
      <c r="AP986" s="454"/>
      <c r="AQ986" s="454"/>
      <c r="AR986" s="454"/>
      <c r="AS986" s="454"/>
      <c r="AT986" s="454"/>
      <c r="AU986" s="454"/>
      <c r="AV986" s="454"/>
      <c r="AW986" s="454"/>
      <c r="AX986" s="454"/>
      <c r="AY986" s="486">
        <f t="shared" si="66"/>
        <v>3310</v>
      </c>
      <c r="AZ986" s="487">
        <f t="shared" si="67"/>
        <v>1</v>
      </c>
      <c r="BA986" s="454"/>
      <c r="BB986" s="454"/>
      <c r="BC986" s="454"/>
      <c r="BD986" s="454"/>
      <c r="BE986" s="454"/>
      <c r="BF986" s="454"/>
      <c r="BG986" s="454"/>
      <c r="BH986" s="454"/>
      <c r="BI986" s="454"/>
      <c r="BJ986" s="454"/>
      <c r="BK986" s="454"/>
      <c r="BL986" s="454"/>
      <c r="BM986" s="454"/>
      <c r="BN986" s="454"/>
      <c r="BO986" s="454"/>
      <c r="BP986" s="454"/>
      <c r="BQ986" s="454"/>
      <c r="BR986" s="454"/>
      <c r="BS986" s="454"/>
      <c r="BT986" s="454"/>
      <c r="BU986" s="454"/>
      <c r="BV986" s="454"/>
      <c r="BW986" s="454"/>
      <c r="BX986" s="454"/>
      <c r="BY986" s="454"/>
      <c r="BZ986" s="454"/>
      <c r="CA986" s="454"/>
      <c r="CB986" s="454"/>
      <c r="CC986" s="454"/>
      <c r="CD986" s="454"/>
      <c r="CE986" s="454"/>
      <c r="CF986" s="454"/>
      <c r="CG986" s="454"/>
      <c r="CH986" s="456"/>
      <c r="CI986" s="454"/>
      <c r="CJ986" s="454"/>
      <c r="CK986" s="454"/>
      <c r="CL986" s="454"/>
    </row>
    <row r="987" spans="1:90" s="469" customFormat="1" ht="12" customHeight="1" x14ac:dyDescent="0.15">
      <c r="A987" s="444" t="s">
        <v>5136</v>
      </c>
      <c r="B987" s="445">
        <v>42622</v>
      </c>
      <c r="C987" s="446" t="s">
        <v>5138</v>
      </c>
      <c r="D987" s="446" t="s">
        <v>3942</v>
      </c>
      <c r="E987" s="446" t="s">
        <v>3958</v>
      </c>
      <c r="F987" s="446" t="s">
        <v>3686</v>
      </c>
      <c r="G987" s="447">
        <v>5</v>
      </c>
      <c r="H987" s="448">
        <v>6</v>
      </c>
      <c r="I987" s="447"/>
      <c r="J987" s="447"/>
      <c r="K987" s="447">
        <v>7</v>
      </c>
      <c r="L987" s="449">
        <v>3</v>
      </c>
      <c r="M987" s="450">
        <v>5626</v>
      </c>
      <c r="N987" s="446" t="s">
        <v>3739</v>
      </c>
      <c r="O987" s="447">
        <v>1</v>
      </c>
      <c r="P987" s="451">
        <v>6.5</v>
      </c>
      <c r="Q987" s="452">
        <v>8.1608796296296301E-4</v>
      </c>
      <c r="R987" s="450">
        <v>3310</v>
      </c>
      <c r="S987" s="447" t="s">
        <v>625</v>
      </c>
      <c r="T987" s="453" t="s">
        <v>3714</v>
      </c>
      <c r="U987" s="454"/>
      <c r="V987" s="454"/>
      <c r="W987" s="455"/>
      <c r="X987" s="454"/>
      <c r="Y987" s="454"/>
      <c r="Z987" s="454"/>
      <c r="AA987" s="454"/>
      <c r="AB987" s="454"/>
      <c r="AC987" s="454"/>
      <c r="AD987" s="454"/>
      <c r="AE987" s="454"/>
      <c r="AF987" s="454"/>
      <c r="AG987" s="454"/>
      <c r="AH987" s="454"/>
      <c r="AI987" s="454"/>
      <c r="AJ987" s="454"/>
      <c r="AK987" s="454"/>
      <c r="AL987" s="454"/>
      <c r="AM987" s="454"/>
      <c r="AN987" s="454"/>
      <c r="AO987" s="454"/>
      <c r="AP987" s="454"/>
      <c r="AQ987" s="454"/>
      <c r="AR987" s="454"/>
      <c r="AS987" s="454"/>
      <c r="AT987" s="454"/>
      <c r="AU987" s="454"/>
      <c r="AV987" s="454"/>
      <c r="AW987" s="454"/>
      <c r="AX987" s="454"/>
      <c r="AY987" s="486">
        <f t="shared" si="66"/>
        <v>3310</v>
      </c>
      <c r="AZ987" s="487">
        <f t="shared" si="67"/>
        <v>1</v>
      </c>
      <c r="BA987" s="454"/>
      <c r="BB987" s="454"/>
      <c r="BC987" s="454"/>
      <c r="BD987" s="454"/>
      <c r="BE987" s="454"/>
      <c r="BF987" s="454"/>
      <c r="BG987" s="454"/>
      <c r="BH987" s="454"/>
      <c r="BI987" s="454"/>
      <c r="BJ987" s="454"/>
      <c r="BK987" s="454"/>
      <c r="BL987" s="454"/>
      <c r="BM987" s="454"/>
      <c r="BN987" s="454"/>
      <c r="BO987" s="454"/>
      <c r="BP987" s="454"/>
      <c r="BQ987" s="454"/>
      <c r="BR987" s="454"/>
      <c r="BS987" s="454"/>
      <c r="BT987" s="454"/>
      <c r="BU987" s="454"/>
      <c r="BV987" s="454"/>
      <c r="BW987" s="454"/>
      <c r="BX987" s="454"/>
      <c r="BY987" s="454"/>
      <c r="BZ987" s="454"/>
      <c r="CA987" s="454"/>
      <c r="CB987" s="454"/>
      <c r="CC987" s="454"/>
      <c r="CD987" s="454"/>
      <c r="CE987" s="454"/>
      <c r="CF987" s="454"/>
      <c r="CG987" s="454"/>
      <c r="CH987" s="456"/>
      <c r="CI987" s="454"/>
      <c r="CJ987" s="454"/>
      <c r="CK987" s="454"/>
      <c r="CL987" s="454"/>
    </row>
    <row r="988" spans="1:90" s="469" customFormat="1" ht="12" customHeight="1" x14ac:dyDescent="0.15">
      <c r="A988" s="471" t="s">
        <v>3174</v>
      </c>
      <c r="B988" s="472">
        <v>42622</v>
      </c>
      <c r="C988" s="471" t="s">
        <v>5386</v>
      </c>
      <c r="D988" s="471" t="s">
        <v>5388</v>
      </c>
      <c r="E988" s="471" t="s">
        <v>5387</v>
      </c>
      <c r="F988" s="471" t="s">
        <v>2376</v>
      </c>
      <c r="G988" s="473">
        <v>3</v>
      </c>
      <c r="H988" s="474">
        <v>8</v>
      </c>
      <c r="I988" s="475" t="s">
        <v>3730</v>
      </c>
      <c r="J988" s="475"/>
      <c r="K988" s="473">
        <v>8</v>
      </c>
      <c r="L988" s="458">
        <v>20</v>
      </c>
      <c r="M988" s="476">
        <v>33300</v>
      </c>
      <c r="N988" s="471" t="s">
        <v>4211</v>
      </c>
      <c r="O988" s="637" t="s">
        <v>431</v>
      </c>
      <c r="P988" s="478" t="s">
        <v>431</v>
      </c>
      <c r="Q988" s="479" t="s">
        <v>431</v>
      </c>
      <c r="R988" s="480" t="s">
        <v>431</v>
      </c>
      <c r="S988" s="477"/>
      <c r="T988" s="481" t="s">
        <v>5673</v>
      </c>
      <c r="U988" s="482"/>
      <c r="V988" s="482"/>
      <c r="W988" s="483"/>
      <c r="X988" s="482"/>
      <c r="Y988" s="482"/>
      <c r="Z988" s="482"/>
      <c r="AA988" s="482"/>
      <c r="AB988" s="482"/>
      <c r="AC988" s="482"/>
      <c r="AD988" s="482"/>
      <c r="AE988" s="482"/>
      <c r="AF988" s="482"/>
      <c r="AG988" s="482"/>
      <c r="AH988" s="482"/>
      <c r="AI988" s="482"/>
      <c r="AJ988" s="482"/>
      <c r="AK988" s="482"/>
      <c r="AL988" s="482"/>
      <c r="AM988" s="482"/>
      <c r="AN988" s="482"/>
      <c r="AO988" s="482"/>
      <c r="AP988" s="482"/>
      <c r="AQ988" s="482"/>
      <c r="AR988" s="482"/>
      <c r="AS988" s="482"/>
      <c r="AT988" s="482"/>
      <c r="AU988" s="482"/>
      <c r="AV988" s="482"/>
      <c r="AW988" s="482"/>
      <c r="AX988" s="482"/>
      <c r="AY988" s="486" t="str">
        <f t="shared" si="66"/>
        <v/>
      </c>
      <c r="AZ988" s="487" t="str">
        <f t="shared" si="67"/>
        <v/>
      </c>
      <c r="BA988" s="482"/>
      <c r="BB988" s="482"/>
      <c r="BC988" s="482"/>
      <c r="BD988" s="482"/>
      <c r="BE988" s="482"/>
      <c r="BF988" s="482"/>
      <c r="BG988" s="482"/>
      <c r="BH988" s="482"/>
      <c r="BI988" s="482"/>
      <c r="BJ988" s="482"/>
      <c r="BK988" s="482"/>
      <c r="BL988" s="482"/>
      <c r="BM988" s="482"/>
      <c r="BN988" s="482"/>
      <c r="BO988" s="482"/>
      <c r="BP988" s="482"/>
      <c r="BQ988" s="482"/>
      <c r="BR988" s="482"/>
      <c r="BS988" s="482"/>
      <c r="BT988" s="482"/>
      <c r="BU988" s="482"/>
      <c r="BV988" s="482"/>
      <c r="BW988" s="482"/>
      <c r="BX988" s="482"/>
      <c r="BY988" s="482"/>
      <c r="BZ988" s="482"/>
      <c r="CA988" s="482"/>
      <c r="CB988" s="482"/>
      <c r="CC988" s="482"/>
      <c r="CD988" s="482"/>
      <c r="CE988" s="482"/>
      <c r="CF988" s="482"/>
      <c r="CG988" s="482"/>
      <c r="CH988" s="484"/>
    </row>
    <row r="989" spans="1:90" s="469" customFormat="1" ht="12" customHeight="1" x14ac:dyDescent="0.15">
      <c r="A989" s="471" t="s">
        <v>2157</v>
      </c>
      <c r="B989" s="472">
        <v>42622</v>
      </c>
      <c r="C989" s="471" t="s">
        <v>4944</v>
      </c>
      <c r="D989" s="471" t="s">
        <v>4941</v>
      </c>
      <c r="E989" s="471" t="s">
        <v>5483</v>
      </c>
      <c r="F989" s="471" t="s">
        <v>2376</v>
      </c>
      <c r="G989" s="473">
        <v>3</v>
      </c>
      <c r="H989" s="474">
        <v>8</v>
      </c>
      <c r="I989" s="475" t="s">
        <v>3730</v>
      </c>
      <c r="J989" s="475"/>
      <c r="K989" s="473">
        <v>8</v>
      </c>
      <c r="L989" s="458">
        <f>9/2</f>
        <v>4.5</v>
      </c>
      <c r="M989" s="476">
        <v>33300</v>
      </c>
      <c r="N989" s="471" t="s">
        <v>4211</v>
      </c>
      <c r="O989" s="637" t="s">
        <v>431</v>
      </c>
      <c r="P989" s="478" t="s">
        <v>431</v>
      </c>
      <c r="Q989" s="479" t="s">
        <v>431</v>
      </c>
      <c r="R989" s="480" t="s">
        <v>431</v>
      </c>
      <c r="S989" s="477"/>
      <c r="T989" s="481" t="s">
        <v>5673</v>
      </c>
      <c r="U989" s="482"/>
      <c r="V989" s="482"/>
      <c r="W989" s="483"/>
      <c r="X989" s="482"/>
      <c r="Y989" s="482"/>
      <c r="Z989" s="482"/>
      <c r="AA989" s="482"/>
      <c r="AB989" s="482"/>
      <c r="AC989" s="482"/>
      <c r="AD989" s="482"/>
      <c r="AE989" s="482"/>
      <c r="AF989" s="482"/>
      <c r="AG989" s="482"/>
      <c r="AH989" s="482"/>
      <c r="AI989" s="482"/>
      <c r="AJ989" s="482"/>
      <c r="AK989" s="482"/>
      <c r="AL989" s="482"/>
      <c r="AM989" s="482"/>
      <c r="AN989" s="482"/>
      <c r="AO989" s="482"/>
      <c r="AP989" s="482"/>
      <c r="AQ989" s="482"/>
      <c r="AR989" s="482"/>
      <c r="AS989" s="482"/>
      <c r="AT989" s="482"/>
      <c r="AU989" s="482"/>
      <c r="AV989" s="482"/>
      <c r="AW989" s="482"/>
      <c r="AX989" s="482"/>
      <c r="AY989" s="486" t="str">
        <f t="shared" si="66"/>
        <v/>
      </c>
      <c r="AZ989" s="487" t="str">
        <f t="shared" si="67"/>
        <v/>
      </c>
      <c r="BA989" s="482"/>
      <c r="BB989" s="482"/>
      <c r="BC989" s="482"/>
      <c r="BD989" s="482"/>
      <c r="BE989" s="482"/>
      <c r="BF989" s="482"/>
      <c r="BG989" s="482"/>
      <c r="BH989" s="482"/>
      <c r="BI989" s="482"/>
      <c r="BJ989" s="482"/>
      <c r="BK989" s="482"/>
      <c r="BL989" s="482"/>
      <c r="BM989" s="482"/>
      <c r="BN989" s="482"/>
      <c r="BO989" s="482"/>
      <c r="BP989" s="482"/>
      <c r="BQ989" s="482"/>
      <c r="BR989" s="482"/>
      <c r="BS989" s="482"/>
      <c r="BT989" s="482"/>
      <c r="BU989" s="482"/>
      <c r="BV989" s="482"/>
      <c r="BW989" s="482"/>
      <c r="BX989" s="482"/>
      <c r="BY989" s="482"/>
      <c r="BZ989" s="482"/>
      <c r="CA989" s="482"/>
      <c r="CB989" s="482"/>
      <c r="CC989" s="482"/>
      <c r="CD989" s="482"/>
      <c r="CE989" s="482"/>
      <c r="CF989" s="482"/>
      <c r="CG989" s="482"/>
      <c r="CH989" s="484"/>
    </row>
    <row r="990" spans="1:90" s="461" customFormat="1" ht="12" customHeight="1" x14ac:dyDescent="0.15">
      <c r="A990" s="522" t="s">
        <v>4003</v>
      </c>
      <c r="B990" s="467">
        <v>42623</v>
      </c>
      <c r="C990" s="468" t="s">
        <v>4004</v>
      </c>
      <c r="D990" s="468" t="s">
        <v>5659</v>
      </c>
      <c r="E990" s="468" t="s">
        <v>5346</v>
      </c>
      <c r="F990" s="468" t="s">
        <v>3686</v>
      </c>
      <c r="G990" s="466">
        <v>3</v>
      </c>
      <c r="H990" s="465">
        <v>5.5</v>
      </c>
      <c r="I990" s="466"/>
      <c r="J990" s="466"/>
      <c r="K990" s="466">
        <v>9</v>
      </c>
      <c r="L990" s="525">
        <v>15</v>
      </c>
      <c r="M990" s="463">
        <v>8374</v>
      </c>
      <c r="N990" s="468" t="s">
        <v>3225</v>
      </c>
      <c r="O990" s="466">
        <v>7</v>
      </c>
      <c r="P990" s="523">
        <v>-7.75</v>
      </c>
      <c r="Q990" s="462">
        <v>7.5034722222222224E-4</v>
      </c>
      <c r="R990" s="463">
        <v>99</v>
      </c>
      <c r="S990" s="466" t="s">
        <v>625</v>
      </c>
      <c r="T990" s="639"/>
      <c r="W990" s="460"/>
      <c r="AY990" s="486">
        <f t="shared" si="66"/>
        <v>99</v>
      </c>
      <c r="AZ990" s="487" t="str">
        <f t="shared" si="67"/>
        <v/>
      </c>
      <c r="CH990" s="459"/>
    </row>
    <row r="991" spans="1:90" s="461" customFormat="1" ht="12" customHeight="1" x14ac:dyDescent="0.15">
      <c r="A991" s="522" t="s">
        <v>1943</v>
      </c>
      <c r="B991" s="467">
        <v>42623</v>
      </c>
      <c r="C991" s="468" t="s">
        <v>5683</v>
      </c>
      <c r="D991" s="468" t="s">
        <v>3737</v>
      </c>
      <c r="E991" s="468" t="s">
        <v>4117</v>
      </c>
      <c r="F991" s="468" t="s">
        <v>2332</v>
      </c>
      <c r="G991" s="466">
        <v>6</v>
      </c>
      <c r="H991" s="465">
        <v>8</v>
      </c>
      <c r="I991" s="466" t="s">
        <v>3730</v>
      </c>
      <c r="J991" s="466"/>
      <c r="K991" s="466">
        <v>12</v>
      </c>
      <c r="L991" s="525">
        <v>6</v>
      </c>
      <c r="M991" s="463">
        <v>9900</v>
      </c>
      <c r="N991" s="468" t="s">
        <v>4910</v>
      </c>
      <c r="O991" s="466">
        <v>2</v>
      </c>
      <c r="P991" s="555" t="s">
        <v>1202</v>
      </c>
      <c r="Q991" s="462">
        <v>1.1136574074074076E-3</v>
      </c>
      <c r="R991" s="463">
        <v>1980</v>
      </c>
      <c r="S991" s="466"/>
      <c r="T991" s="639" t="s">
        <v>5684</v>
      </c>
      <c r="W991" s="460"/>
      <c r="AY991" s="486" t="str">
        <f t="shared" si="66"/>
        <v/>
      </c>
      <c r="AZ991" s="487" t="str">
        <f t="shared" si="67"/>
        <v/>
      </c>
      <c r="CH991" s="459"/>
    </row>
    <row r="992" spans="1:90" s="469" customFormat="1" ht="12" customHeight="1" x14ac:dyDescent="0.15">
      <c r="A992" s="444" t="s">
        <v>4583</v>
      </c>
      <c r="B992" s="445">
        <v>42623</v>
      </c>
      <c r="C992" s="446" t="s">
        <v>2744</v>
      </c>
      <c r="D992" s="446" t="s">
        <v>3832</v>
      </c>
      <c r="E992" s="446" t="s">
        <v>3846</v>
      </c>
      <c r="F992" s="446" t="s">
        <v>3686</v>
      </c>
      <c r="G992" s="447">
        <v>6</v>
      </c>
      <c r="H992" s="448">
        <v>7.5</v>
      </c>
      <c r="I992" s="447"/>
      <c r="J992" s="447"/>
      <c r="K992" s="447">
        <v>12</v>
      </c>
      <c r="L992" s="449">
        <v>3</v>
      </c>
      <c r="M992" s="450">
        <v>5854</v>
      </c>
      <c r="N992" s="446" t="s">
        <v>3739</v>
      </c>
      <c r="O992" s="447">
        <v>1</v>
      </c>
      <c r="P992" s="451">
        <v>-0.5</v>
      </c>
      <c r="Q992" s="452">
        <v>1.0391203703703704E-3</v>
      </c>
      <c r="R992" s="450">
        <v>3537</v>
      </c>
      <c r="S992" s="447" t="s">
        <v>625</v>
      </c>
      <c r="T992" s="453" t="s">
        <v>5677</v>
      </c>
      <c r="U992" s="454"/>
      <c r="V992" s="454"/>
      <c r="W992" s="455"/>
      <c r="X992" s="454"/>
      <c r="Y992" s="454"/>
      <c r="Z992" s="454"/>
      <c r="AA992" s="454"/>
      <c r="AB992" s="454"/>
      <c r="AC992" s="454"/>
      <c r="AD992" s="454"/>
      <c r="AE992" s="454"/>
      <c r="AF992" s="454"/>
      <c r="AG992" s="454"/>
      <c r="AH992" s="454"/>
      <c r="AI992" s="454"/>
      <c r="AJ992" s="454"/>
      <c r="AK992" s="454"/>
      <c r="AL992" s="454"/>
      <c r="AM992" s="454"/>
      <c r="AN992" s="454"/>
      <c r="AO992" s="454"/>
      <c r="AP992" s="454"/>
      <c r="AQ992" s="454"/>
      <c r="AR992" s="454"/>
      <c r="AS992" s="454"/>
      <c r="AT992" s="454"/>
      <c r="AU992" s="454"/>
      <c r="AV992" s="454"/>
      <c r="AW992" s="454"/>
      <c r="AX992" s="454"/>
      <c r="AY992" s="486">
        <f t="shared" si="66"/>
        <v>3537</v>
      </c>
      <c r="AZ992" s="487">
        <f t="shared" si="67"/>
        <v>1</v>
      </c>
      <c r="BA992" s="454"/>
      <c r="BB992" s="454"/>
      <c r="BC992" s="454"/>
      <c r="BD992" s="454"/>
      <c r="BE992" s="454"/>
      <c r="BF992" s="454"/>
      <c r="BG992" s="454"/>
      <c r="BH992" s="454"/>
      <c r="BI992" s="454"/>
      <c r="BJ992" s="454"/>
      <c r="BK992" s="454"/>
      <c r="BL992" s="454"/>
      <c r="BM992" s="454"/>
      <c r="BN992" s="454"/>
      <c r="BO992" s="454"/>
      <c r="BP992" s="454"/>
      <c r="BQ992" s="454"/>
      <c r="BR992" s="454"/>
      <c r="BS992" s="454"/>
      <c r="BT992" s="454"/>
      <c r="BU992" s="454"/>
      <c r="BV992" s="454"/>
      <c r="BW992" s="454"/>
      <c r="BX992" s="454"/>
      <c r="BY992" s="454"/>
      <c r="BZ992" s="454"/>
      <c r="CA992" s="454"/>
      <c r="CB992" s="454"/>
      <c r="CC992" s="454"/>
      <c r="CD992" s="454"/>
      <c r="CE992" s="454"/>
      <c r="CF992" s="454"/>
      <c r="CG992" s="454"/>
      <c r="CH992" s="456"/>
      <c r="CI992" s="454"/>
      <c r="CJ992" s="454"/>
      <c r="CK992" s="454"/>
      <c r="CL992" s="454"/>
    </row>
    <row r="993" spans="1:90" s="461" customFormat="1" ht="12" customHeight="1" x14ac:dyDescent="0.15">
      <c r="A993" s="522" t="s">
        <v>3829</v>
      </c>
      <c r="B993" s="467">
        <v>42623</v>
      </c>
      <c r="C993" s="468" t="s">
        <v>2744</v>
      </c>
      <c r="D993" s="468" t="s">
        <v>3832</v>
      </c>
      <c r="E993" s="468" t="s">
        <v>4069</v>
      </c>
      <c r="F993" s="468" t="s">
        <v>3686</v>
      </c>
      <c r="G993" s="466">
        <v>6</v>
      </c>
      <c r="H993" s="465">
        <v>7.5</v>
      </c>
      <c r="I993" s="466"/>
      <c r="J993" s="466"/>
      <c r="K993" s="466">
        <v>12</v>
      </c>
      <c r="L993" s="525">
        <v>3</v>
      </c>
      <c r="M993" s="463">
        <v>5854</v>
      </c>
      <c r="N993" s="468" t="s">
        <v>3739</v>
      </c>
      <c r="O993" s="466">
        <v>2</v>
      </c>
      <c r="P993" s="523">
        <v>-0.5</v>
      </c>
      <c r="Q993" s="462">
        <v>1.0391203703703704E-3</v>
      </c>
      <c r="R993" s="463">
        <v>1238</v>
      </c>
      <c r="S993" s="466" t="s">
        <v>625</v>
      </c>
      <c r="T993" s="639" t="s">
        <v>5677</v>
      </c>
      <c r="W993" s="460"/>
      <c r="AY993" s="486">
        <f t="shared" si="66"/>
        <v>1238</v>
      </c>
      <c r="AZ993" s="487" t="str">
        <f t="shared" si="67"/>
        <v/>
      </c>
      <c r="CH993" s="459"/>
    </row>
    <row r="994" spans="1:90" s="461" customFormat="1" ht="12" customHeight="1" x14ac:dyDescent="0.15">
      <c r="A994" s="522" t="s">
        <v>3944</v>
      </c>
      <c r="B994" s="467">
        <v>42623</v>
      </c>
      <c r="C994" s="468" t="s">
        <v>3949</v>
      </c>
      <c r="D994" s="468" t="s">
        <v>3213</v>
      </c>
      <c r="E994" s="468" t="s">
        <v>3848</v>
      </c>
      <c r="F994" s="468" t="s">
        <v>3686</v>
      </c>
      <c r="G994" s="466">
        <v>6</v>
      </c>
      <c r="H994" s="465">
        <v>7.5</v>
      </c>
      <c r="I994" s="466"/>
      <c r="J994" s="466"/>
      <c r="K994" s="466">
        <v>12</v>
      </c>
      <c r="L994" s="525">
        <v>4</v>
      </c>
      <c r="M994" s="463">
        <v>5854</v>
      </c>
      <c r="N994" s="468" t="s">
        <v>3739</v>
      </c>
      <c r="O994" s="466">
        <v>9</v>
      </c>
      <c r="P994" s="523">
        <v>-9.75</v>
      </c>
      <c r="Q994" s="462">
        <v>1.0391203703703704E-3</v>
      </c>
      <c r="R994" s="463">
        <v>99</v>
      </c>
      <c r="S994" s="466" t="s">
        <v>625</v>
      </c>
      <c r="T994" s="639"/>
      <c r="W994" s="460"/>
      <c r="AY994" s="486">
        <f t="shared" si="66"/>
        <v>99</v>
      </c>
      <c r="AZ994" s="487" t="str">
        <f t="shared" si="67"/>
        <v/>
      </c>
      <c r="CH994" s="459"/>
    </row>
    <row r="995" spans="1:90" s="461" customFormat="1" ht="12" customHeight="1" x14ac:dyDescent="0.15">
      <c r="A995" s="522" t="s">
        <v>3940</v>
      </c>
      <c r="B995" s="467">
        <v>42623</v>
      </c>
      <c r="C995" s="468" t="s">
        <v>3950</v>
      </c>
      <c r="D995" s="468" t="s">
        <v>3942</v>
      </c>
      <c r="E995" s="468" t="s">
        <v>4901</v>
      </c>
      <c r="F995" s="468" t="s">
        <v>3686</v>
      </c>
      <c r="G995" s="466">
        <v>10</v>
      </c>
      <c r="H995" s="465">
        <v>5</v>
      </c>
      <c r="I995" s="466"/>
      <c r="J995" s="466"/>
      <c r="K995" s="466">
        <v>14</v>
      </c>
      <c r="L995" s="506">
        <v>4</v>
      </c>
      <c r="M995" s="463">
        <v>4767</v>
      </c>
      <c r="N995" s="468" t="s">
        <v>5422</v>
      </c>
      <c r="O995" s="466">
        <v>11</v>
      </c>
      <c r="P995" s="523">
        <v>-16.75</v>
      </c>
      <c r="Q995" s="462">
        <v>7.4166666666666662E-4</v>
      </c>
      <c r="R995" s="463">
        <v>99</v>
      </c>
      <c r="S995" s="466" t="s">
        <v>625</v>
      </c>
      <c r="T995" s="524"/>
      <c r="W995" s="460"/>
      <c r="AY995" s="486">
        <f t="shared" si="66"/>
        <v>99</v>
      </c>
      <c r="AZ995" s="487" t="str">
        <f t="shared" si="67"/>
        <v/>
      </c>
      <c r="CH995" s="459"/>
    </row>
    <row r="996" spans="1:90" s="461" customFormat="1" ht="12" customHeight="1" x14ac:dyDescent="0.15">
      <c r="A996" s="522" t="s">
        <v>4518</v>
      </c>
      <c r="B996" s="467">
        <v>42623</v>
      </c>
      <c r="C996" s="468" t="s">
        <v>4519</v>
      </c>
      <c r="D996" s="468" t="s">
        <v>5227</v>
      </c>
      <c r="E996" s="468" t="s">
        <v>4535</v>
      </c>
      <c r="F996" s="468" t="s">
        <v>3686</v>
      </c>
      <c r="G996" s="466">
        <v>11</v>
      </c>
      <c r="H996" s="465">
        <v>6</v>
      </c>
      <c r="I996" s="466"/>
      <c r="J996" s="466"/>
      <c r="K996" s="466">
        <v>13</v>
      </c>
      <c r="L996" s="525">
        <v>4</v>
      </c>
      <c r="M996" s="463">
        <v>5878</v>
      </c>
      <c r="N996" s="468" t="s">
        <v>3739</v>
      </c>
      <c r="O996" s="466">
        <v>5</v>
      </c>
      <c r="P996" s="523">
        <v>-8.25</v>
      </c>
      <c r="Q996" s="462">
        <v>8.0196759259259273E-4</v>
      </c>
      <c r="R996" s="463">
        <v>237</v>
      </c>
      <c r="S996" s="466" t="s">
        <v>625</v>
      </c>
      <c r="T996" s="524"/>
      <c r="W996" s="460"/>
      <c r="AY996" s="486">
        <f t="shared" si="66"/>
        <v>237</v>
      </c>
      <c r="AZ996" s="487" t="str">
        <f t="shared" si="67"/>
        <v/>
      </c>
      <c r="CH996" s="459"/>
    </row>
    <row r="997" spans="1:90" s="461" customFormat="1" ht="12" customHeight="1" x14ac:dyDescent="0.15">
      <c r="A997" s="522" t="s">
        <v>3941</v>
      </c>
      <c r="B997" s="467">
        <v>42623</v>
      </c>
      <c r="C997" s="468" t="s">
        <v>2744</v>
      </c>
      <c r="D997" s="468" t="s">
        <v>3832</v>
      </c>
      <c r="E997" s="468" t="s">
        <v>3846</v>
      </c>
      <c r="F997" s="468" t="s">
        <v>3686</v>
      </c>
      <c r="G997" s="466">
        <v>11</v>
      </c>
      <c r="H997" s="465">
        <v>6</v>
      </c>
      <c r="I997" s="466"/>
      <c r="J997" s="466"/>
      <c r="K997" s="466">
        <v>13</v>
      </c>
      <c r="L997" s="525">
        <f>9/2</f>
        <v>4.5</v>
      </c>
      <c r="M997" s="463">
        <v>5878</v>
      </c>
      <c r="N997" s="468" t="s">
        <v>3739</v>
      </c>
      <c r="O997" s="466">
        <v>10</v>
      </c>
      <c r="P997" s="523">
        <v>-15.25</v>
      </c>
      <c r="Q997" s="462">
        <v>8.0196759259259273E-4</v>
      </c>
      <c r="R997" s="463">
        <v>99</v>
      </c>
      <c r="S997" s="466" t="s">
        <v>625</v>
      </c>
      <c r="T997" s="639"/>
      <c r="W997" s="460"/>
      <c r="AY997" s="486">
        <f t="shared" si="66"/>
        <v>99</v>
      </c>
      <c r="AZ997" s="487" t="str">
        <f t="shared" si="67"/>
        <v/>
      </c>
      <c r="CH997" s="459"/>
    </row>
    <row r="998" spans="1:90" s="469" customFormat="1" ht="12" customHeight="1" x14ac:dyDescent="0.15">
      <c r="A998" s="471" t="s">
        <v>1295</v>
      </c>
      <c r="B998" s="472">
        <v>42623</v>
      </c>
      <c r="C998" s="471" t="s">
        <v>5413</v>
      </c>
      <c r="D998" s="471" t="s">
        <v>5414</v>
      </c>
      <c r="E998" s="471" t="s">
        <v>3188</v>
      </c>
      <c r="F998" s="471" t="s">
        <v>881</v>
      </c>
      <c r="G998" s="473">
        <v>11</v>
      </c>
      <c r="H998" s="474">
        <v>8.3000000000000007</v>
      </c>
      <c r="I998" s="475"/>
      <c r="J998" s="475"/>
      <c r="K998" s="473">
        <v>9</v>
      </c>
      <c r="L998" s="485" t="s">
        <v>431</v>
      </c>
      <c r="M998" s="476">
        <v>75000</v>
      </c>
      <c r="N998" s="471" t="s">
        <v>5653</v>
      </c>
      <c r="O998" s="637" t="s">
        <v>431</v>
      </c>
      <c r="P998" s="478" t="s">
        <v>431</v>
      </c>
      <c r="Q998" s="479" t="s">
        <v>431</v>
      </c>
      <c r="R998" s="480" t="s">
        <v>431</v>
      </c>
      <c r="S998" s="477"/>
      <c r="T998" s="481" t="s">
        <v>4110</v>
      </c>
      <c r="U998" s="482"/>
      <c r="V998" s="482"/>
      <c r="W998" s="483"/>
      <c r="X998" s="482"/>
      <c r="Y998" s="482"/>
      <c r="Z998" s="482"/>
      <c r="AA998" s="482"/>
      <c r="AB998" s="482"/>
      <c r="AC998" s="482"/>
      <c r="AD998" s="482"/>
      <c r="AE998" s="482"/>
      <c r="AF998" s="482"/>
      <c r="AG998" s="482"/>
      <c r="AH998" s="482"/>
      <c r="AI998" s="482"/>
      <c r="AJ998" s="482"/>
      <c r="AK998" s="482"/>
      <c r="AL998" s="482"/>
      <c r="AM998" s="482"/>
      <c r="AN998" s="482"/>
      <c r="AO998" s="482"/>
      <c r="AP998" s="482"/>
      <c r="AQ998" s="482"/>
      <c r="AR998" s="482"/>
      <c r="AS998" s="482"/>
      <c r="AT998" s="482"/>
      <c r="AU998" s="482"/>
      <c r="AV998" s="482"/>
      <c r="AW998" s="482"/>
      <c r="AX998" s="482"/>
      <c r="AY998" s="486" t="str">
        <f t="shared" si="66"/>
        <v/>
      </c>
      <c r="AZ998" s="487" t="str">
        <f t="shared" si="67"/>
        <v/>
      </c>
      <c r="BA998" s="482"/>
      <c r="BB998" s="482"/>
      <c r="BC998" s="482"/>
      <c r="BD998" s="482"/>
      <c r="BE998" s="482"/>
      <c r="BF998" s="482"/>
      <c r="BG998" s="482"/>
      <c r="BH998" s="482"/>
      <c r="BI998" s="482"/>
      <c r="BJ998" s="482"/>
      <c r="BK998" s="482"/>
      <c r="BL998" s="482"/>
      <c r="BM998" s="482"/>
      <c r="BN998" s="482"/>
      <c r="BO998" s="482"/>
      <c r="BP998" s="482"/>
      <c r="BQ998" s="482"/>
      <c r="BR998" s="482"/>
      <c r="BS998" s="482"/>
      <c r="BT998" s="482"/>
      <c r="BU998" s="482"/>
      <c r="BV998" s="482"/>
      <c r="BW998" s="482"/>
      <c r="BX998" s="482"/>
      <c r="BY998" s="482"/>
      <c r="BZ998" s="482"/>
      <c r="CA998" s="482"/>
      <c r="CB998" s="482"/>
      <c r="CC998" s="482"/>
      <c r="CD998" s="482"/>
      <c r="CE998" s="482"/>
      <c r="CF998" s="482"/>
      <c r="CG998" s="482"/>
      <c r="CH998" s="484"/>
    </row>
    <row r="999" spans="1:90" s="469" customFormat="1" ht="12" customHeight="1" x14ac:dyDescent="0.15">
      <c r="A999" s="471" t="s">
        <v>2155</v>
      </c>
      <c r="B999" s="472">
        <v>42623</v>
      </c>
      <c r="C999" s="471" t="s">
        <v>5473</v>
      </c>
      <c r="D999" s="471" t="s">
        <v>4228</v>
      </c>
      <c r="E999" s="471" t="s">
        <v>5522</v>
      </c>
      <c r="F999" s="471" t="s">
        <v>788</v>
      </c>
      <c r="G999" s="473">
        <v>10</v>
      </c>
      <c r="H999" s="474">
        <v>6</v>
      </c>
      <c r="I999" s="475" t="s">
        <v>3730</v>
      </c>
      <c r="J999" s="475"/>
      <c r="K999" s="473">
        <v>11</v>
      </c>
      <c r="L999" s="458">
        <v>12</v>
      </c>
      <c r="M999" s="476">
        <v>100000</v>
      </c>
      <c r="N999" s="471" t="s">
        <v>5654</v>
      </c>
      <c r="O999" s="637" t="s">
        <v>431</v>
      </c>
      <c r="P999" s="478" t="s">
        <v>431</v>
      </c>
      <c r="Q999" s="479" t="s">
        <v>431</v>
      </c>
      <c r="R999" s="480" t="s">
        <v>431</v>
      </c>
      <c r="S999" s="477"/>
      <c r="T999" s="481" t="s">
        <v>5681</v>
      </c>
      <c r="U999" s="482"/>
      <c r="V999" s="482"/>
      <c r="W999" s="483"/>
      <c r="X999" s="482"/>
      <c r="Y999" s="482"/>
      <c r="Z999" s="482"/>
      <c r="AA999" s="482"/>
      <c r="AB999" s="482"/>
      <c r="AC999" s="482"/>
      <c r="AD999" s="482"/>
      <c r="AE999" s="482"/>
      <c r="AF999" s="482"/>
      <c r="AG999" s="482"/>
      <c r="AH999" s="482"/>
      <c r="AI999" s="482"/>
      <c r="AJ999" s="482"/>
      <c r="AK999" s="482"/>
      <c r="AL999" s="482"/>
      <c r="AM999" s="482"/>
      <c r="AN999" s="482"/>
      <c r="AO999" s="482"/>
      <c r="AP999" s="482"/>
      <c r="AQ999" s="482"/>
      <c r="AR999" s="482"/>
      <c r="AS999" s="482"/>
      <c r="AT999" s="482"/>
      <c r="AU999" s="482"/>
      <c r="AV999" s="482"/>
      <c r="AW999" s="482"/>
      <c r="AX999" s="482"/>
      <c r="AY999" s="486" t="str">
        <f t="shared" si="66"/>
        <v/>
      </c>
      <c r="AZ999" s="487" t="str">
        <f t="shared" si="67"/>
        <v/>
      </c>
      <c r="BA999" s="482"/>
      <c r="BB999" s="482"/>
      <c r="BC999" s="482"/>
      <c r="BD999" s="482"/>
      <c r="BE999" s="482"/>
      <c r="BF999" s="482"/>
      <c r="BG999" s="482"/>
      <c r="BH999" s="482"/>
      <c r="BI999" s="482"/>
      <c r="BJ999" s="482"/>
      <c r="BK999" s="482"/>
      <c r="BL999" s="482"/>
      <c r="BM999" s="482"/>
      <c r="BN999" s="482"/>
      <c r="BO999" s="482"/>
      <c r="BP999" s="482"/>
      <c r="BQ999" s="482"/>
      <c r="BR999" s="482"/>
      <c r="BS999" s="482"/>
      <c r="BT999" s="482"/>
      <c r="BU999" s="482"/>
      <c r="BV999" s="482"/>
      <c r="BW999" s="482"/>
      <c r="BX999" s="482"/>
      <c r="BY999" s="482"/>
      <c r="BZ999" s="482"/>
      <c r="CA999" s="482"/>
      <c r="CB999" s="482"/>
      <c r="CC999" s="482"/>
      <c r="CD999" s="482"/>
      <c r="CE999" s="482"/>
      <c r="CF999" s="482"/>
      <c r="CG999" s="482"/>
      <c r="CH999" s="484"/>
    </row>
    <row r="1000" spans="1:90" s="469" customFormat="1" ht="12" customHeight="1" x14ac:dyDescent="0.15">
      <c r="A1000" s="444" t="s">
        <v>4192</v>
      </c>
      <c r="B1000" s="445">
        <v>42624</v>
      </c>
      <c r="C1000" s="446" t="s">
        <v>3305</v>
      </c>
      <c r="D1000" s="446" t="s">
        <v>4189</v>
      </c>
      <c r="E1000" s="446" t="s">
        <v>5678</v>
      </c>
      <c r="F1000" s="446" t="s">
        <v>4187</v>
      </c>
      <c r="G1000" s="447">
        <v>2</v>
      </c>
      <c r="H1000" s="448">
        <v>6.5</v>
      </c>
      <c r="I1000" s="447"/>
      <c r="J1000" s="447"/>
      <c r="K1000" s="447">
        <v>10</v>
      </c>
      <c r="L1000" s="448" t="s">
        <v>431</v>
      </c>
      <c r="M1000" s="450">
        <v>50041</v>
      </c>
      <c r="N1000" s="446" t="s">
        <v>5457</v>
      </c>
      <c r="O1000" s="447">
        <v>1</v>
      </c>
      <c r="P1000" s="451" t="s">
        <v>4203</v>
      </c>
      <c r="Q1000" s="452">
        <v>9.3981481481481477E-4</v>
      </c>
      <c r="R1000" s="450">
        <v>28361</v>
      </c>
      <c r="S1000" s="447" t="s">
        <v>625</v>
      </c>
      <c r="T1000" s="453"/>
      <c r="U1000" s="454"/>
      <c r="V1000" s="454"/>
      <c r="W1000" s="455"/>
      <c r="X1000" s="454"/>
      <c r="Y1000" s="454"/>
      <c r="Z1000" s="454"/>
      <c r="AA1000" s="454"/>
      <c r="AB1000" s="454"/>
      <c r="AC1000" s="454"/>
      <c r="AD1000" s="454"/>
      <c r="AE1000" s="454"/>
      <c r="AF1000" s="454"/>
      <c r="AG1000" s="454"/>
      <c r="AH1000" s="454"/>
      <c r="AI1000" s="454"/>
      <c r="AJ1000" s="454"/>
      <c r="AK1000" s="454"/>
      <c r="AL1000" s="454"/>
      <c r="AM1000" s="454"/>
      <c r="AN1000" s="454"/>
      <c r="AO1000" s="454"/>
      <c r="AP1000" s="454"/>
      <c r="AQ1000" s="454"/>
      <c r="AR1000" s="454"/>
      <c r="AS1000" s="454"/>
      <c r="AT1000" s="454"/>
      <c r="AU1000" s="454"/>
      <c r="AV1000" s="454"/>
      <c r="AW1000" s="454"/>
      <c r="AX1000" s="454"/>
      <c r="AY1000" s="486">
        <f t="shared" si="66"/>
        <v>28361</v>
      </c>
      <c r="AZ1000" s="487">
        <f t="shared" si="67"/>
        <v>1</v>
      </c>
      <c r="BA1000" s="454"/>
      <c r="BB1000" s="454"/>
      <c r="BC1000" s="454"/>
      <c r="BD1000" s="454"/>
      <c r="BE1000" s="454"/>
      <c r="BF1000" s="454"/>
      <c r="BG1000" s="454"/>
      <c r="BH1000" s="454"/>
      <c r="BI1000" s="454"/>
      <c r="BJ1000" s="454"/>
      <c r="BK1000" s="454"/>
      <c r="BL1000" s="454"/>
      <c r="BM1000" s="454"/>
      <c r="BN1000" s="454"/>
      <c r="BO1000" s="454"/>
      <c r="BP1000" s="454"/>
      <c r="BQ1000" s="454"/>
      <c r="BR1000" s="454"/>
      <c r="BS1000" s="454"/>
      <c r="BT1000" s="454"/>
      <c r="BU1000" s="454"/>
      <c r="BV1000" s="454"/>
      <c r="BW1000" s="454"/>
      <c r="BX1000" s="454"/>
      <c r="BY1000" s="454"/>
      <c r="BZ1000" s="454"/>
      <c r="CA1000" s="454"/>
      <c r="CB1000" s="454"/>
      <c r="CC1000" s="454"/>
      <c r="CD1000" s="454"/>
      <c r="CE1000" s="454"/>
      <c r="CF1000" s="454"/>
      <c r="CG1000" s="454"/>
      <c r="CH1000" s="456"/>
      <c r="CI1000" s="454"/>
      <c r="CJ1000" s="454"/>
      <c r="CK1000" s="454"/>
      <c r="CL1000" s="454"/>
    </row>
    <row r="1001" spans="1:90" s="461" customFormat="1" ht="12" customHeight="1" x14ac:dyDescent="0.15">
      <c r="A1001" s="522" t="s">
        <v>57</v>
      </c>
      <c r="B1001" s="467">
        <v>42624</v>
      </c>
      <c r="C1001" s="468" t="s">
        <v>4472</v>
      </c>
      <c r="D1001" s="468" t="s">
        <v>4300</v>
      </c>
      <c r="E1001" s="468" t="s">
        <v>4713</v>
      </c>
      <c r="F1001" s="468" t="s">
        <v>788</v>
      </c>
      <c r="G1001" s="466">
        <v>6</v>
      </c>
      <c r="H1001" s="465">
        <v>8.5</v>
      </c>
      <c r="I1001" s="466" t="s">
        <v>3730</v>
      </c>
      <c r="J1001" s="466"/>
      <c r="K1001" s="466">
        <v>12</v>
      </c>
      <c r="L1001" s="525">
        <v>10</v>
      </c>
      <c r="M1001" s="463">
        <v>18000</v>
      </c>
      <c r="N1001" s="468" t="s">
        <v>4924</v>
      </c>
      <c r="O1001" s="466">
        <v>12</v>
      </c>
      <c r="P1001" s="523">
        <v>-9</v>
      </c>
      <c r="Q1001" s="462">
        <v>1.1765046296296296E-3</v>
      </c>
      <c r="R1001" s="463">
        <v>0</v>
      </c>
      <c r="S1001" s="466"/>
      <c r="T1001" s="639"/>
      <c r="W1001" s="460"/>
      <c r="AY1001" s="486" t="str">
        <f t="shared" si="66"/>
        <v/>
      </c>
      <c r="AZ1001" s="487" t="str">
        <f t="shared" si="67"/>
        <v/>
      </c>
      <c r="CH1001" s="459"/>
    </row>
    <row r="1002" spans="1:90" s="461" customFormat="1" ht="12" customHeight="1" x14ac:dyDescent="0.15">
      <c r="A1002" s="522" t="s">
        <v>351</v>
      </c>
      <c r="B1002" s="467">
        <v>42624</v>
      </c>
      <c r="C1002" s="468" t="s">
        <v>4845</v>
      </c>
      <c r="D1002" s="468" t="s">
        <v>4841</v>
      </c>
      <c r="E1002" s="468" t="s">
        <v>4842</v>
      </c>
      <c r="F1002" s="468" t="s">
        <v>4843</v>
      </c>
      <c r="G1002" s="466">
        <v>8</v>
      </c>
      <c r="H1002" s="465">
        <v>8.5</v>
      </c>
      <c r="I1002" s="466"/>
      <c r="J1002" s="466"/>
      <c r="K1002" s="466">
        <v>10</v>
      </c>
      <c r="L1002" s="525">
        <v>8</v>
      </c>
      <c r="M1002" s="463">
        <v>5868</v>
      </c>
      <c r="N1002" s="468" t="s">
        <v>5087</v>
      </c>
      <c r="O1002" s="466">
        <v>2</v>
      </c>
      <c r="P1002" s="523">
        <v>-0.75</v>
      </c>
      <c r="Q1002" s="462">
        <v>1.25E-3</v>
      </c>
      <c r="R1002" s="463">
        <v>1180</v>
      </c>
      <c r="S1002" s="466"/>
      <c r="T1002" s="639"/>
      <c r="W1002" s="460"/>
      <c r="AY1002" s="486" t="str">
        <f t="shared" si="66"/>
        <v/>
      </c>
      <c r="AZ1002" s="487" t="str">
        <f t="shared" si="67"/>
        <v/>
      </c>
      <c r="CH1002" s="459"/>
    </row>
    <row r="1003" spans="1:90" s="461" customFormat="1" ht="12" customHeight="1" x14ac:dyDescent="0.15">
      <c r="A1003" s="522" t="s">
        <v>36</v>
      </c>
      <c r="B1003" s="467">
        <v>42626</v>
      </c>
      <c r="C1003" s="468" t="s">
        <v>5686</v>
      </c>
      <c r="D1003" s="468" t="s">
        <v>5687</v>
      </c>
      <c r="E1003" s="468" t="s">
        <v>5688</v>
      </c>
      <c r="F1003" s="468" t="s">
        <v>25</v>
      </c>
      <c r="G1003" s="466">
        <v>5</v>
      </c>
      <c r="H1003" s="465">
        <v>6</v>
      </c>
      <c r="I1003" s="466"/>
      <c r="J1003" s="466"/>
      <c r="K1003" s="466">
        <v>7</v>
      </c>
      <c r="L1003" s="525">
        <v>3</v>
      </c>
      <c r="M1003" s="463">
        <v>10000</v>
      </c>
      <c r="N1003" s="468" t="s">
        <v>197</v>
      </c>
      <c r="O1003" s="466">
        <v>5</v>
      </c>
      <c r="P1003" s="523">
        <v>-7</v>
      </c>
      <c r="Q1003" s="462">
        <v>8.0694444444444433E-4</v>
      </c>
      <c r="R1003" s="463">
        <v>200</v>
      </c>
      <c r="S1003" s="466"/>
      <c r="T1003" s="639" t="s">
        <v>5720</v>
      </c>
      <c r="W1003" s="460"/>
      <c r="AY1003" s="486" t="str">
        <f t="shared" si="66"/>
        <v/>
      </c>
      <c r="AZ1003" s="487" t="str">
        <f t="shared" si="67"/>
        <v/>
      </c>
      <c r="CH1003" s="459"/>
    </row>
    <row r="1004" spans="1:90" s="461" customFormat="1" ht="12" customHeight="1" x14ac:dyDescent="0.15">
      <c r="A1004" s="522" t="s">
        <v>2364</v>
      </c>
      <c r="B1004" s="467">
        <v>42626</v>
      </c>
      <c r="C1004" s="468" t="s">
        <v>3922</v>
      </c>
      <c r="D1004" s="468" t="s">
        <v>3923</v>
      </c>
      <c r="E1004" s="468" t="s">
        <v>3924</v>
      </c>
      <c r="F1004" s="468" t="s">
        <v>4828</v>
      </c>
      <c r="G1004" s="466">
        <v>1</v>
      </c>
      <c r="H1004" s="465">
        <v>5.5</v>
      </c>
      <c r="I1004" s="466" t="s">
        <v>1360</v>
      </c>
      <c r="J1004" s="466"/>
      <c r="K1004" s="466">
        <v>8</v>
      </c>
      <c r="L1004" s="525">
        <v>6</v>
      </c>
      <c r="M1004" s="463">
        <v>16000</v>
      </c>
      <c r="N1004" s="468" t="s">
        <v>4720</v>
      </c>
      <c r="O1004" s="466">
        <v>7</v>
      </c>
      <c r="P1004" s="523">
        <v>-9.5</v>
      </c>
      <c r="Q1004" s="462">
        <v>7.5370370370370359E-4</v>
      </c>
      <c r="R1004" s="463">
        <v>200</v>
      </c>
      <c r="S1004" s="466"/>
      <c r="T1004" s="639"/>
      <c r="W1004" s="460"/>
      <c r="AY1004" s="486" t="str">
        <f t="shared" si="66"/>
        <v/>
      </c>
      <c r="AZ1004" s="487" t="str">
        <f t="shared" si="67"/>
        <v/>
      </c>
      <c r="CH1004" s="459"/>
    </row>
    <row r="1005" spans="1:90" s="461" customFormat="1" ht="12" customHeight="1" x14ac:dyDescent="0.15">
      <c r="A1005" s="522" t="s">
        <v>3645</v>
      </c>
      <c r="B1005" s="467">
        <v>42627</v>
      </c>
      <c r="C1005" s="468" t="s">
        <v>5044</v>
      </c>
      <c r="D1005" s="468" t="s">
        <v>5045</v>
      </c>
      <c r="E1005" s="468" t="s">
        <v>5526</v>
      </c>
      <c r="F1005" s="468" t="s">
        <v>4828</v>
      </c>
      <c r="G1005" s="466">
        <v>8</v>
      </c>
      <c r="H1005" s="465">
        <v>6</v>
      </c>
      <c r="I1005" s="466" t="s">
        <v>1360</v>
      </c>
      <c r="J1005" s="466"/>
      <c r="K1005" s="466">
        <v>11</v>
      </c>
      <c r="L1005" s="525">
        <v>4</v>
      </c>
      <c r="M1005" s="463">
        <v>10000</v>
      </c>
      <c r="N1005" s="468" t="s">
        <v>4924</v>
      </c>
      <c r="O1005" s="466">
        <v>5</v>
      </c>
      <c r="P1005" s="523">
        <v>-5.25</v>
      </c>
      <c r="Q1005" s="462">
        <v>8.2164351851851853E-4</v>
      </c>
      <c r="R1005" s="463">
        <v>250</v>
      </c>
      <c r="S1005" s="466"/>
      <c r="T1005" s="639" t="s">
        <v>3755</v>
      </c>
      <c r="W1005" s="460"/>
      <c r="AY1005" s="486" t="str">
        <f t="shared" si="66"/>
        <v/>
      </c>
      <c r="AZ1005" s="487" t="str">
        <f t="shared" si="67"/>
        <v/>
      </c>
      <c r="CH1005" s="459"/>
    </row>
    <row r="1006" spans="1:90" s="461" customFormat="1" ht="12" customHeight="1" x14ac:dyDescent="0.15">
      <c r="A1006" s="522" t="s">
        <v>4621</v>
      </c>
      <c r="B1006" s="467">
        <v>42628</v>
      </c>
      <c r="C1006" s="468" t="s">
        <v>4908</v>
      </c>
      <c r="D1006" s="468" t="s">
        <v>3892</v>
      </c>
      <c r="E1006" s="468" t="s">
        <v>5110</v>
      </c>
      <c r="F1006" s="468" t="s">
        <v>540</v>
      </c>
      <c r="G1006" s="466">
        <v>8</v>
      </c>
      <c r="H1006" s="465">
        <v>8</v>
      </c>
      <c r="I1006" s="466" t="s">
        <v>3730</v>
      </c>
      <c r="J1006" s="466"/>
      <c r="K1006" s="466">
        <v>9</v>
      </c>
      <c r="L1006" s="525">
        <v>8</v>
      </c>
      <c r="M1006" s="463">
        <v>15000</v>
      </c>
      <c r="N1006" s="468" t="s">
        <v>4761</v>
      </c>
      <c r="O1006" s="466">
        <v>5</v>
      </c>
      <c r="P1006" s="523">
        <v>-4</v>
      </c>
      <c r="Q1006" s="462">
        <v>1.1508101851851851E-3</v>
      </c>
      <c r="R1006" s="463">
        <v>140</v>
      </c>
      <c r="S1006" s="466"/>
      <c r="T1006" s="639"/>
      <c r="W1006" s="460"/>
      <c r="AY1006" s="486" t="str">
        <f t="shared" si="66"/>
        <v/>
      </c>
      <c r="AZ1006" s="487" t="str">
        <f t="shared" si="67"/>
        <v/>
      </c>
      <c r="CH1006" s="459"/>
    </row>
    <row r="1007" spans="1:90" s="469" customFormat="1" ht="12" customHeight="1" x14ac:dyDescent="0.15">
      <c r="A1007" s="444" t="s">
        <v>2155</v>
      </c>
      <c r="B1007" s="445">
        <v>42629</v>
      </c>
      <c r="C1007" s="446" t="s">
        <v>5473</v>
      </c>
      <c r="D1007" s="446" t="s">
        <v>4228</v>
      </c>
      <c r="E1007" s="446" t="s">
        <v>5522</v>
      </c>
      <c r="F1007" s="446" t="s">
        <v>788</v>
      </c>
      <c r="G1007" s="447">
        <v>7</v>
      </c>
      <c r="H1007" s="448">
        <v>8</v>
      </c>
      <c r="I1007" s="447"/>
      <c r="J1007" s="447"/>
      <c r="K1007" s="447">
        <v>10</v>
      </c>
      <c r="L1007" s="449">
        <v>10</v>
      </c>
      <c r="M1007" s="450">
        <v>45000</v>
      </c>
      <c r="N1007" s="446" t="s">
        <v>4635</v>
      </c>
      <c r="O1007" s="447">
        <v>1</v>
      </c>
      <c r="P1007" s="451">
        <v>6</v>
      </c>
      <c r="Q1007" s="452">
        <v>1.1250000000000001E-3</v>
      </c>
      <c r="R1007" s="450">
        <v>33345</v>
      </c>
      <c r="S1007" s="447"/>
      <c r="T1007" s="453"/>
      <c r="U1007" s="454"/>
      <c r="V1007" s="454"/>
      <c r="W1007" s="455"/>
      <c r="X1007" s="454"/>
      <c r="Y1007" s="454"/>
      <c r="Z1007" s="454"/>
      <c r="AA1007" s="454"/>
      <c r="AB1007" s="454"/>
      <c r="AC1007" s="454"/>
      <c r="AD1007" s="454"/>
      <c r="AE1007" s="454"/>
      <c r="AF1007" s="454"/>
      <c r="AG1007" s="454"/>
      <c r="AH1007" s="454"/>
      <c r="AI1007" s="454"/>
      <c r="AJ1007" s="454"/>
      <c r="AK1007" s="454"/>
      <c r="AL1007" s="454"/>
      <c r="AM1007" s="454"/>
      <c r="AN1007" s="454"/>
      <c r="AO1007" s="454"/>
      <c r="AP1007" s="454"/>
      <c r="AQ1007" s="454"/>
      <c r="AR1007" s="454"/>
      <c r="AS1007" s="454"/>
      <c r="AT1007" s="454"/>
      <c r="AU1007" s="454"/>
      <c r="AV1007" s="454"/>
      <c r="AW1007" s="454"/>
      <c r="AX1007" s="454"/>
      <c r="AY1007" s="486" t="str">
        <f t="shared" si="66"/>
        <v/>
      </c>
      <c r="AZ1007" s="487">
        <f t="shared" si="67"/>
        <v>1</v>
      </c>
      <c r="BA1007" s="454"/>
      <c r="BB1007" s="454"/>
      <c r="BC1007" s="454"/>
      <c r="BD1007" s="454"/>
      <c r="BE1007" s="454"/>
      <c r="BF1007" s="454"/>
      <c r="BG1007" s="454"/>
      <c r="BH1007" s="454"/>
      <c r="BI1007" s="454"/>
      <c r="BJ1007" s="454"/>
      <c r="BK1007" s="454"/>
      <c r="BL1007" s="454"/>
      <c r="BM1007" s="454"/>
      <c r="BN1007" s="454"/>
      <c r="BO1007" s="454"/>
      <c r="BP1007" s="454"/>
      <c r="BQ1007" s="454"/>
      <c r="BR1007" s="454"/>
      <c r="BS1007" s="454"/>
      <c r="BT1007" s="454"/>
      <c r="BU1007" s="454"/>
      <c r="BV1007" s="454"/>
      <c r="BW1007" s="454"/>
      <c r="BX1007" s="454"/>
      <c r="BY1007" s="454"/>
      <c r="BZ1007" s="454"/>
      <c r="CA1007" s="454"/>
      <c r="CB1007" s="454"/>
      <c r="CC1007" s="454"/>
      <c r="CD1007" s="454"/>
      <c r="CE1007" s="454"/>
      <c r="CF1007" s="454"/>
      <c r="CG1007" s="454"/>
      <c r="CH1007" s="456"/>
      <c r="CI1007" s="454"/>
      <c r="CJ1007" s="454"/>
      <c r="CK1007" s="454"/>
      <c r="CL1007" s="454"/>
    </row>
    <row r="1008" spans="1:90" s="461" customFormat="1" ht="12" customHeight="1" x14ac:dyDescent="0.15">
      <c r="A1008" s="522" t="s">
        <v>2478</v>
      </c>
      <c r="B1008" s="467">
        <v>42629</v>
      </c>
      <c r="C1008" s="468" t="s">
        <v>5505</v>
      </c>
      <c r="D1008" s="468" t="s">
        <v>5414</v>
      </c>
      <c r="E1008" s="468" t="s">
        <v>4177</v>
      </c>
      <c r="F1008" s="468" t="s">
        <v>433</v>
      </c>
      <c r="G1008" s="466">
        <v>9</v>
      </c>
      <c r="H1008" s="465">
        <v>8.5</v>
      </c>
      <c r="I1008" s="466" t="s">
        <v>3730</v>
      </c>
      <c r="J1008" s="466"/>
      <c r="K1008" s="466">
        <v>12</v>
      </c>
      <c r="L1008" s="601">
        <v>5</v>
      </c>
      <c r="M1008" s="463">
        <v>41000</v>
      </c>
      <c r="N1008" s="468" t="s">
        <v>4945</v>
      </c>
      <c r="O1008" s="466">
        <v>10</v>
      </c>
      <c r="P1008" s="523">
        <v>-12</v>
      </c>
      <c r="Q1008" s="462">
        <v>1.1886574074074074E-3</v>
      </c>
      <c r="R1008" s="463">
        <v>137</v>
      </c>
      <c r="S1008" s="466"/>
      <c r="T1008" s="639"/>
      <c r="W1008" s="460"/>
      <c r="AY1008" s="486" t="str">
        <f t="shared" si="66"/>
        <v/>
      </c>
      <c r="AZ1008" s="487" t="str">
        <f t="shared" si="67"/>
        <v/>
      </c>
      <c r="CH1008" s="459"/>
    </row>
    <row r="1009" spans="1:90" s="461" customFormat="1" ht="12" customHeight="1" x14ac:dyDescent="0.15">
      <c r="A1009" s="522" t="s">
        <v>3328</v>
      </c>
      <c r="B1009" s="467">
        <v>42629</v>
      </c>
      <c r="C1009" s="468" t="s">
        <v>5477</v>
      </c>
      <c r="D1009" s="468" t="s">
        <v>5478</v>
      </c>
      <c r="E1009" s="468" t="s">
        <v>3698</v>
      </c>
      <c r="F1009" s="468" t="s">
        <v>3686</v>
      </c>
      <c r="G1009" s="466">
        <v>1</v>
      </c>
      <c r="H1009" s="465">
        <v>5.5</v>
      </c>
      <c r="I1009" s="466"/>
      <c r="J1009" s="466"/>
      <c r="K1009" s="466">
        <v>7</v>
      </c>
      <c r="L1009" s="525">
        <v>8</v>
      </c>
      <c r="M1009" s="463">
        <v>5764</v>
      </c>
      <c r="N1009" s="468" t="s">
        <v>3739</v>
      </c>
      <c r="O1009" s="466">
        <v>7</v>
      </c>
      <c r="P1009" s="523">
        <v>-7.75</v>
      </c>
      <c r="Q1009" s="462">
        <v>7.4641203703703707E-4</v>
      </c>
      <c r="R1009" s="463">
        <v>99</v>
      </c>
      <c r="S1009" s="466" t="s">
        <v>625</v>
      </c>
      <c r="T1009" s="639"/>
      <c r="W1009" s="460"/>
      <c r="AY1009" s="486">
        <f t="shared" si="66"/>
        <v>99</v>
      </c>
      <c r="AZ1009" s="487" t="str">
        <f t="shared" si="67"/>
        <v/>
      </c>
      <c r="CH1009" s="459"/>
    </row>
    <row r="1010" spans="1:90" s="461" customFormat="1" ht="12" customHeight="1" x14ac:dyDescent="0.15">
      <c r="A1010" s="522" t="s">
        <v>3174</v>
      </c>
      <c r="B1010" s="467">
        <v>42629</v>
      </c>
      <c r="C1010" s="468" t="s">
        <v>5386</v>
      </c>
      <c r="D1010" s="468" t="s">
        <v>5388</v>
      </c>
      <c r="E1010" s="468" t="s">
        <v>5387</v>
      </c>
      <c r="F1010" s="468" t="s">
        <v>2376</v>
      </c>
      <c r="G1010" s="466">
        <v>3</v>
      </c>
      <c r="H1010" s="465">
        <v>8.5</v>
      </c>
      <c r="I1010" s="466" t="s">
        <v>3730</v>
      </c>
      <c r="J1010" s="466"/>
      <c r="K1010" s="466">
        <v>8</v>
      </c>
      <c r="L1010" s="525">
        <v>30</v>
      </c>
      <c r="M1010" s="463">
        <v>17100</v>
      </c>
      <c r="N1010" s="468" t="s">
        <v>5047</v>
      </c>
      <c r="O1010" s="466">
        <v>7</v>
      </c>
      <c r="P1010" s="523">
        <v>-7.25</v>
      </c>
      <c r="Q1010" s="462">
        <v>1.2045138888888889E-3</v>
      </c>
      <c r="R1010" s="463">
        <v>0</v>
      </c>
      <c r="S1010" s="466"/>
      <c r="T1010" s="639"/>
      <c r="W1010" s="460"/>
      <c r="AY1010" s="486" t="str">
        <f t="shared" si="66"/>
        <v/>
      </c>
      <c r="AZ1010" s="487" t="str">
        <f t="shared" si="67"/>
        <v/>
      </c>
      <c r="CH1010" s="459"/>
    </row>
    <row r="1011" spans="1:90" s="461" customFormat="1" ht="12" customHeight="1" x14ac:dyDescent="0.15">
      <c r="A1011" s="522" t="s">
        <v>2177</v>
      </c>
      <c r="B1011" s="467">
        <v>42630</v>
      </c>
      <c r="C1011" s="468" t="s">
        <v>1805</v>
      </c>
      <c r="D1011" s="468" t="s">
        <v>3855</v>
      </c>
      <c r="E1011" s="468" t="s">
        <v>5454</v>
      </c>
      <c r="F1011" s="468" t="s">
        <v>4171</v>
      </c>
      <c r="G1011" s="466">
        <v>4</v>
      </c>
      <c r="H1011" s="465">
        <v>5</v>
      </c>
      <c r="I1011" s="466" t="s">
        <v>3730</v>
      </c>
      <c r="J1011" s="466"/>
      <c r="K1011" s="466">
        <v>8</v>
      </c>
      <c r="L1011" s="525">
        <v>4</v>
      </c>
      <c r="M1011" s="463">
        <v>42000</v>
      </c>
      <c r="N1011" s="468" t="s">
        <v>4296</v>
      </c>
      <c r="O1011" s="466">
        <v>7</v>
      </c>
      <c r="P1011" s="523">
        <v>-7.5</v>
      </c>
      <c r="Q1011" s="462">
        <v>6.578703703703704E-4</v>
      </c>
      <c r="R1011" s="463">
        <v>200</v>
      </c>
      <c r="S1011" s="466"/>
      <c r="T1011" s="639"/>
      <c r="W1011" s="460"/>
      <c r="AY1011" s="486" t="str">
        <f t="shared" si="66"/>
        <v/>
      </c>
      <c r="AZ1011" s="487" t="str">
        <f t="shared" si="67"/>
        <v/>
      </c>
      <c r="CH1011" s="459"/>
    </row>
    <row r="1012" spans="1:90" s="469" customFormat="1" ht="12" customHeight="1" x14ac:dyDescent="0.15">
      <c r="A1012" s="444" t="s">
        <v>3629</v>
      </c>
      <c r="B1012" s="445">
        <v>42630</v>
      </c>
      <c r="C1012" s="446" t="s">
        <v>3704</v>
      </c>
      <c r="D1012" s="446" t="s">
        <v>3705</v>
      </c>
      <c r="E1012" s="446" t="s">
        <v>5253</v>
      </c>
      <c r="F1012" s="446" t="s">
        <v>3300</v>
      </c>
      <c r="G1012" s="447">
        <v>4</v>
      </c>
      <c r="H1012" s="448">
        <v>8</v>
      </c>
      <c r="I1012" s="447"/>
      <c r="J1012" s="447"/>
      <c r="K1012" s="447">
        <v>5</v>
      </c>
      <c r="L1012" s="449">
        <f>7/2</f>
        <v>3.5</v>
      </c>
      <c r="M1012" s="450">
        <v>16000</v>
      </c>
      <c r="N1012" s="446" t="s">
        <v>5481</v>
      </c>
      <c r="O1012" s="447">
        <v>1</v>
      </c>
      <c r="P1012" s="451">
        <v>1</v>
      </c>
      <c r="Q1012" s="452">
        <v>1.1958333333333333E-3</v>
      </c>
      <c r="R1012" s="450">
        <v>9120</v>
      </c>
      <c r="S1012" s="447"/>
      <c r="T1012" s="453"/>
      <c r="U1012" s="454"/>
      <c r="V1012" s="454"/>
      <c r="W1012" s="455"/>
      <c r="X1012" s="454"/>
      <c r="Y1012" s="454"/>
      <c r="Z1012" s="454"/>
      <c r="AA1012" s="454"/>
      <c r="AB1012" s="454"/>
      <c r="AC1012" s="454"/>
      <c r="AD1012" s="454"/>
      <c r="AE1012" s="454"/>
      <c r="AF1012" s="454"/>
      <c r="AG1012" s="454"/>
      <c r="AH1012" s="454"/>
      <c r="AI1012" s="454"/>
      <c r="AJ1012" s="454"/>
      <c r="AK1012" s="454"/>
      <c r="AL1012" s="454"/>
      <c r="AM1012" s="454"/>
      <c r="AN1012" s="454"/>
      <c r="AO1012" s="454"/>
      <c r="AP1012" s="454"/>
      <c r="AQ1012" s="454"/>
      <c r="AR1012" s="454"/>
      <c r="AS1012" s="454"/>
      <c r="AT1012" s="454"/>
      <c r="AU1012" s="454"/>
      <c r="AV1012" s="454"/>
      <c r="AW1012" s="454"/>
      <c r="AX1012" s="454"/>
      <c r="AY1012" s="486" t="str">
        <f t="shared" si="66"/>
        <v/>
      </c>
      <c r="AZ1012" s="487">
        <f t="shared" si="67"/>
        <v>1</v>
      </c>
      <c r="BA1012" s="454"/>
      <c r="BB1012" s="454"/>
      <c r="BC1012" s="454"/>
      <c r="BD1012" s="454"/>
      <c r="BE1012" s="454"/>
      <c r="BF1012" s="454"/>
      <c r="BG1012" s="454"/>
      <c r="BH1012" s="454"/>
      <c r="BI1012" s="454"/>
      <c r="BJ1012" s="454"/>
      <c r="BK1012" s="454"/>
      <c r="BL1012" s="454"/>
      <c r="BM1012" s="454"/>
      <c r="BN1012" s="454"/>
      <c r="BO1012" s="454"/>
      <c r="BP1012" s="454"/>
      <c r="BQ1012" s="454"/>
      <c r="BR1012" s="454"/>
      <c r="BS1012" s="454"/>
      <c r="BT1012" s="454"/>
      <c r="BU1012" s="454"/>
      <c r="BV1012" s="454"/>
      <c r="BW1012" s="454"/>
      <c r="BX1012" s="454"/>
      <c r="BY1012" s="454"/>
      <c r="BZ1012" s="454"/>
      <c r="CA1012" s="454"/>
      <c r="CB1012" s="454"/>
      <c r="CC1012" s="454"/>
      <c r="CD1012" s="454"/>
      <c r="CE1012" s="454"/>
      <c r="CF1012" s="454"/>
      <c r="CG1012" s="454"/>
      <c r="CH1012" s="456"/>
      <c r="CI1012" s="454"/>
      <c r="CJ1012" s="454"/>
      <c r="CK1012" s="454"/>
      <c r="CL1012" s="454"/>
    </row>
    <row r="1013" spans="1:90" s="461" customFormat="1" ht="12" customHeight="1" x14ac:dyDescent="0.15">
      <c r="A1013" s="522" t="s">
        <v>3333</v>
      </c>
      <c r="B1013" s="467">
        <v>42630</v>
      </c>
      <c r="C1013" s="468" t="s">
        <v>3293</v>
      </c>
      <c r="D1013" s="468" t="s">
        <v>4957</v>
      </c>
      <c r="E1013" s="468" t="s">
        <v>4978</v>
      </c>
      <c r="F1013" s="468" t="s">
        <v>5049</v>
      </c>
      <c r="G1013" s="466">
        <v>6</v>
      </c>
      <c r="H1013" s="465">
        <v>6</v>
      </c>
      <c r="I1013" s="466" t="s">
        <v>1360</v>
      </c>
      <c r="J1013" s="466"/>
      <c r="K1013" s="466">
        <v>9</v>
      </c>
      <c r="L1013" s="525">
        <v>3</v>
      </c>
      <c r="M1013" s="463">
        <v>19251</v>
      </c>
      <c r="N1013" s="468" t="s">
        <v>4776</v>
      </c>
      <c r="O1013" s="466">
        <v>2</v>
      </c>
      <c r="P1013" s="523">
        <v>-1.25</v>
      </c>
      <c r="Q1013" s="462">
        <v>8.1608796296296301E-4</v>
      </c>
      <c r="R1013" s="463">
        <v>3845</v>
      </c>
      <c r="S1013" s="466"/>
      <c r="T1013" s="639" t="s">
        <v>3755</v>
      </c>
      <c r="W1013" s="460"/>
      <c r="AY1013" s="486" t="str">
        <f t="shared" si="66"/>
        <v/>
      </c>
      <c r="AZ1013" s="487" t="str">
        <f t="shared" si="67"/>
        <v/>
      </c>
      <c r="CH1013" s="459"/>
    </row>
    <row r="1014" spans="1:90" s="461" customFormat="1" ht="12" customHeight="1" x14ac:dyDescent="0.15">
      <c r="A1014" s="522" t="s">
        <v>2487</v>
      </c>
      <c r="B1014" s="467">
        <v>42630</v>
      </c>
      <c r="C1014" s="468" t="s">
        <v>5712</v>
      </c>
      <c r="D1014" s="468" t="s">
        <v>5713</v>
      </c>
      <c r="E1014" s="468" t="s">
        <v>5714</v>
      </c>
      <c r="F1014" s="468" t="s">
        <v>3352</v>
      </c>
      <c r="G1014" s="466">
        <v>5</v>
      </c>
      <c r="H1014" s="465">
        <v>5.5</v>
      </c>
      <c r="I1014" s="466"/>
      <c r="J1014" s="466" t="s">
        <v>960</v>
      </c>
      <c r="K1014" s="466">
        <v>12</v>
      </c>
      <c r="L1014" s="525">
        <v>6</v>
      </c>
      <c r="M1014" s="463">
        <v>21500</v>
      </c>
      <c r="N1014" s="468" t="s">
        <v>4633</v>
      </c>
      <c r="O1014" s="466">
        <v>6</v>
      </c>
      <c r="P1014" s="523">
        <v>-8</v>
      </c>
      <c r="Q1014" s="462">
        <v>7.7870370370370365E-4</v>
      </c>
      <c r="R1014" s="463">
        <v>215</v>
      </c>
      <c r="S1014" s="466"/>
      <c r="T1014" s="639"/>
      <c r="W1014" s="460"/>
      <c r="AY1014" s="486" t="str">
        <f t="shared" si="66"/>
        <v/>
      </c>
      <c r="AZ1014" s="487" t="str">
        <f t="shared" si="67"/>
        <v/>
      </c>
      <c r="CH1014" s="459"/>
    </row>
    <row r="1015" spans="1:90" s="461" customFormat="1" ht="12" customHeight="1" x14ac:dyDescent="0.15">
      <c r="A1015" s="522" t="s">
        <v>4011</v>
      </c>
      <c r="B1015" s="467">
        <v>42630</v>
      </c>
      <c r="C1015" s="468" t="s">
        <v>4018</v>
      </c>
      <c r="D1015" s="468" t="s">
        <v>4017</v>
      </c>
      <c r="E1015" s="468" t="s">
        <v>3699</v>
      </c>
      <c r="F1015" s="468" t="s">
        <v>3686</v>
      </c>
      <c r="G1015" s="466">
        <v>8</v>
      </c>
      <c r="H1015" s="465">
        <v>9</v>
      </c>
      <c r="I1015" s="466"/>
      <c r="J1015" s="466"/>
      <c r="K1015" s="466">
        <v>14</v>
      </c>
      <c r="L1015" s="525">
        <f>9/2</f>
        <v>4.5</v>
      </c>
      <c r="M1015" s="463">
        <v>24376</v>
      </c>
      <c r="N1015" s="468" t="s">
        <v>5710</v>
      </c>
      <c r="O1015" s="466">
        <v>14</v>
      </c>
      <c r="P1015" s="523">
        <v>-31.75</v>
      </c>
      <c r="Q1015" s="462">
        <v>1.2747685185185184E-3</v>
      </c>
      <c r="R1015" s="463">
        <v>99</v>
      </c>
      <c r="S1015" s="466" t="s">
        <v>625</v>
      </c>
      <c r="T1015" s="639"/>
      <c r="W1015" s="460"/>
      <c r="AY1015" s="486">
        <f t="shared" si="66"/>
        <v>99</v>
      </c>
      <c r="AZ1015" s="487" t="str">
        <f t="shared" si="67"/>
        <v/>
      </c>
      <c r="CH1015" s="459"/>
    </row>
    <row r="1016" spans="1:90" s="461" customFormat="1" ht="12" customHeight="1" x14ac:dyDescent="0.15">
      <c r="A1016" s="522" t="s">
        <v>21</v>
      </c>
      <c r="B1016" s="467">
        <v>42630</v>
      </c>
      <c r="C1016" s="468" t="s">
        <v>5715</v>
      </c>
      <c r="D1016" s="468" t="s">
        <v>5716</v>
      </c>
      <c r="E1016" s="468" t="s">
        <v>4036</v>
      </c>
      <c r="F1016" s="468" t="s">
        <v>775</v>
      </c>
      <c r="G1016" s="466">
        <v>6</v>
      </c>
      <c r="H1016" s="465">
        <v>8.3000000000000007</v>
      </c>
      <c r="I1016" s="466"/>
      <c r="J1016" s="466"/>
      <c r="K1016" s="466">
        <v>10</v>
      </c>
      <c r="L1016" s="525">
        <f>9/2</f>
        <v>4.5</v>
      </c>
      <c r="M1016" s="463">
        <v>21000</v>
      </c>
      <c r="N1016" s="468" t="s">
        <v>5213</v>
      </c>
      <c r="O1016" s="466">
        <v>2</v>
      </c>
      <c r="P1016" s="523">
        <v>-3.5</v>
      </c>
      <c r="Q1016" s="462">
        <v>1.2017361111111111E-3</v>
      </c>
      <c r="R1016" s="463">
        <v>4800</v>
      </c>
      <c r="S1016" s="466"/>
      <c r="T1016" s="639" t="s">
        <v>3755</v>
      </c>
      <c r="W1016" s="460"/>
      <c r="AY1016" s="486" t="str">
        <f t="shared" si="66"/>
        <v/>
      </c>
      <c r="AZ1016" s="487" t="str">
        <f t="shared" si="67"/>
        <v/>
      </c>
      <c r="CH1016" s="459"/>
    </row>
    <row r="1017" spans="1:90" s="469" customFormat="1" ht="12" customHeight="1" x14ac:dyDescent="0.15">
      <c r="A1017" s="471" t="s">
        <v>5596</v>
      </c>
      <c r="B1017" s="472">
        <v>42630</v>
      </c>
      <c r="C1017" s="471" t="s">
        <v>2609</v>
      </c>
      <c r="D1017" s="471" t="s">
        <v>5511</v>
      </c>
      <c r="E1017" s="471" t="s">
        <v>3683</v>
      </c>
      <c r="F1017" s="471" t="s">
        <v>3686</v>
      </c>
      <c r="G1017" s="473">
        <v>12</v>
      </c>
      <c r="H1017" s="474">
        <v>6.5</v>
      </c>
      <c r="I1017" s="475"/>
      <c r="J1017" s="475"/>
      <c r="K1017" s="473">
        <v>14</v>
      </c>
      <c r="L1017" s="458"/>
      <c r="M1017" s="476">
        <v>4853</v>
      </c>
      <c r="N1017" s="471" t="s">
        <v>5422</v>
      </c>
      <c r="O1017" s="637" t="s">
        <v>431</v>
      </c>
      <c r="P1017" s="478" t="s">
        <v>431</v>
      </c>
      <c r="Q1017" s="479" t="s">
        <v>431</v>
      </c>
      <c r="R1017" s="480" t="s">
        <v>431</v>
      </c>
      <c r="S1017" s="477" t="s">
        <v>625</v>
      </c>
      <c r="T1017" s="481" t="s">
        <v>3885</v>
      </c>
      <c r="U1017" s="482"/>
      <c r="V1017" s="482"/>
      <c r="W1017" s="483"/>
      <c r="X1017" s="482"/>
      <c r="Y1017" s="482"/>
      <c r="Z1017" s="482"/>
      <c r="AA1017" s="482"/>
      <c r="AB1017" s="482"/>
      <c r="AC1017" s="482"/>
      <c r="AD1017" s="482"/>
      <c r="AE1017" s="482"/>
      <c r="AF1017" s="482"/>
      <c r="AG1017" s="482"/>
      <c r="AH1017" s="482"/>
      <c r="AI1017" s="482"/>
      <c r="AJ1017" s="482"/>
      <c r="AK1017" s="482"/>
      <c r="AL1017" s="482"/>
      <c r="AM1017" s="482"/>
      <c r="AN1017" s="482"/>
      <c r="AO1017" s="482"/>
      <c r="AP1017" s="482"/>
      <c r="AQ1017" s="482"/>
      <c r="AR1017" s="482"/>
      <c r="AS1017" s="482"/>
      <c r="AT1017" s="482"/>
      <c r="AU1017" s="482"/>
      <c r="AV1017" s="482"/>
      <c r="AW1017" s="482"/>
      <c r="AX1017" s="482"/>
      <c r="AY1017" s="486" t="str">
        <f t="shared" si="66"/>
        <v>--</v>
      </c>
      <c r="AZ1017" s="487" t="str">
        <f t="shared" si="67"/>
        <v/>
      </c>
      <c r="BA1017" s="482"/>
      <c r="BB1017" s="482"/>
      <c r="BC1017" s="482"/>
      <c r="BD1017" s="482"/>
      <c r="BE1017" s="482"/>
      <c r="BF1017" s="482"/>
      <c r="BG1017" s="482"/>
      <c r="BH1017" s="482"/>
      <c r="BI1017" s="482"/>
      <c r="BJ1017" s="482"/>
      <c r="BK1017" s="482"/>
      <c r="BL1017" s="482"/>
      <c r="BM1017" s="482"/>
      <c r="BN1017" s="482"/>
      <c r="BO1017" s="482"/>
      <c r="BP1017" s="482"/>
      <c r="BQ1017" s="482"/>
      <c r="BR1017" s="482"/>
      <c r="BS1017" s="482"/>
      <c r="BT1017" s="482"/>
      <c r="BU1017" s="482"/>
      <c r="BV1017" s="482"/>
      <c r="BW1017" s="482"/>
      <c r="BX1017" s="482"/>
      <c r="BY1017" s="482"/>
      <c r="BZ1017" s="482"/>
      <c r="CA1017" s="482"/>
      <c r="CB1017" s="482"/>
      <c r="CC1017" s="482"/>
      <c r="CD1017" s="482"/>
      <c r="CE1017" s="482"/>
      <c r="CF1017" s="482"/>
      <c r="CG1017" s="482"/>
      <c r="CH1017" s="484"/>
    </row>
    <row r="1018" spans="1:90" s="461" customFormat="1" ht="12" customHeight="1" x14ac:dyDescent="0.15">
      <c r="A1018" s="522" t="s">
        <v>4174</v>
      </c>
      <c r="B1018" s="467">
        <v>42630</v>
      </c>
      <c r="C1018" s="468" t="s">
        <v>5597</v>
      </c>
      <c r="D1018" s="468" t="s">
        <v>5598</v>
      </c>
      <c r="E1018" s="468" t="s">
        <v>3698</v>
      </c>
      <c r="F1018" s="468" t="s">
        <v>3686</v>
      </c>
      <c r="G1018" s="466">
        <v>13</v>
      </c>
      <c r="H1018" s="465">
        <v>5.5</v>
      </c>
      <c r="I1018" s="466"/>
      <c r="J1018" s="466"/>
      <c r="K1018" s="466">
        <v>14</v>
      </c>
      <c r="L1018" s="525">
        <v>20</v>
      </c>
      <c r="M1018" s="463">
        <v>2639</v>
      </c>
      <c r="N1018" s="468" t="s">
        <v>5422</v>
      </c>
      <c r="O1018" s="466">
        <v>2</v>
      </c>
      <c r="P1018" s="523">
        <v>-0.75</v>
      </c>
      <c r="Q1018" s="462">
        <v>7.5509259259259247E-4</v>
      </c>
      <c r="R1018" s="463">
        <v>976</v>
      </c>
      <c r="S1018" s="466" t="s">
        <v>625</v>
      </c>
      <c r="T1018" s="639"/>
      <c r="W1018" s="460"/>
      <c r="AY1018" s="486">
        <f t="shared" si="66"/>
        <v>976</v>
      </c>
      <c r="AZ1018" s="487" t="str">
        <f t="shared" si="67"/>
        <v/>
      </c>
      <c r="CH1018" s="459"/>
    </row>
    <row r="1019" spans="1:90" s="461" customFormat="1" ht="12" customHeight="1" x14ac:dyDescent="0.15">
      <c r="A1019" s="522" t="s">
        <v>5423</v>
      </c>
      <c r="B1019" s="467">
        <v>42631</v>
      </c>
      <c r="C1019" s="468" t="s">
        <v>5424</v>
      </c>
      <c r="D1019" s="468" t="s">
        <v>5500</v>
      </c>
      <c r="E1019" s="468" t="s">
        <v>5519</v>
      </c>
      <c r="F1019" s="468" t="s">
        <v>4738</v>
      </c>
      <c r="G1019" s="466">
        <v>1</v>
      </c>
      <c r="H1019" s="465">
        <v>6.5</v>
      </c>
      <c r="I1019" s="466"/>
      <c r="J1019" s="466"/>
      <c r="K1019" s="466">
        <v>8</v>
      </c>
      <c r="L1019" s="465" t="s">
        <v>431</v>
      </c>
      <c r="M1019" s="463">
        <v>4086</v>
      </c>
      <c r="N1019" s="468" t="s">
        <v>3348</v>
      </c>
      <c r="O1019" s="466">
        <v>7</v>
      </c>
      <c r="P1019" s="523">
        <v>-14</v>
      </c>
      <c r="Q1019" s="462">
        <v>9.9039351851851849E-4</v>
      </c>
      <c r="R1019" s="463">
        <v>30</v>
      </c>
      <c r="S1019" s="466" t="s">
        <v>625</v>
      </c>
      <c r="T1019" s="524"/>
      <c r="W1019" s="460"/>
      <c r="AY1019" s="486">
        <f t="shared" si="66"/>
        <v>30</v>
      </c>
      <c r="AZ1019" s="487" t="str">
        <f t="shared" si="67"/>
        <v/>
      </c>
      <c r="CH1019" s="459"/>
    </row>
    <row r="1020" spans="1:90" s="461" customFormat="1" ht="12" customHeight="1" x14ac:dyDescent="0.15">
      <c r="A1020" s="522" t="s">
        <v>3426</v>
      </c>
      <c r="B1020" s="467">
        <v>42631</v>
      </c>
      <c r="C1020" s="468" t="s">
        <v>3655</v>
      </c>
      <c r="D1020" s="468" t="s">
        <v>3298</v>
      </c>
      <c r="E1020" s="468" t="s">
        <v>3699</v>
      </c>
      <c r="F1020" s="468" t="s">
        <v>3685</v>
      </c>
      <c r="G1020" s="466">
        <v>2</v>
      </c>
      <c r="H1020" s="465">
        <v>7</v>
      </c>
      <c r="I1020" s="466"/>
      <c r="J1020" s="466"/>
      <c r="K1020" s="466">
        <v>8</v>
      </c>
      <c r="L1020" s="525">
        <v>4</v>
      </c>
      <c r="M1020" s="463">
        <v>2840</v>
      </c>
      <c r="N1020" s="468" t="s">
        <v>3739</v>
      </c>
      <c r="O1020" s="466">
        <v>2</v>
      </c>
      <c r="P1020" s="523">
        <v>-0.75</v>
      </c>
      <c r="Q1020" s="462">
        <v>1.0089120370370371E-3</v>
      </c>
      <c r="R1020" s="463">
        <v>597</v>
      </c>
      <c r="S1020" s="466" t="s">
        <v>625</v>
      </c>
      <c r="T1020" s="639" t="s">
        <v>3755</v>
      </c>
      <c r="W1020" s="460"/>
      <c r="AY1020" s="486">
        <f t="shared" si="66"/>
        <v>597</v>
      </c>
      <c r="AZ1020" s="487" t="str">
        <f t="shared" si="67"/>
        <v/>
      </c>
      <c r="CH1020" s="459"/>
    </row>
    <row r="1021" spans="1:90" s="461" customFormat="1" ht="12" customHeight="1" x14ac:dyDescent="0.15">
      <c r="A1021" s="522" t="s">
        <v>2218</v>
      </c>
      <c r="B1021" s="467">
        <v>42631</v>
      </c>
      <c r="C1021" s="468" t="s">
        <v>4663</v>
      </c>
      <c r="D1021" s="468" t="s">
        <v>4664</v>
      </c>
      <c r="E1021" s="468" t="s">
        <v>3878</v>
      </c>
      <c r="F1021" s="468" t="s">
        <v>788</v>
      </c>
      <c r="G1021" s="466">
        <v>4</v>
      </c>
      <c r="H1021" s="465">
        <v>5.5</v>
      </c>
      <c r="I1021" s="466" t="s">
        <v>3730</v>
      </c>
      <c r="J1021" s="466"/>
      <c r="K1021" s="466">
        <v>10</v>
      </c>
      <c r="L1021" s="465"/>
      <c r="M1021" s="463">
        <v>22000</v>
      </c>
      <c r="N1021" s="468" t="s">
        <v>4720</v>
      </c>
      <c r="O1021" s="466">
        <v>4</v>
      </c>
      <c r="P1021" s="523">
        <v>-3.5</v>
      </c>
      <c r="Q1021" s="462">
        <v>7.280092592592593E-4</v>
      </c>
      <c r="R1021" s="463">
        <v>1320</v>
      </c>
      <c r="S1021" s="466"/>
      <c r="T1021" s="639"/>
      <c r="W1021" s="460"/>
      <c r="AY1021" s="486" t="str">
        <f t="shared" si="66"/>
        <v/>
      </c>
      <c r="AZ1021" s="487" t="str">
        <f t="shared" si="67"/>
        <v/>
      </c>
      <c r="CH1021" s="459"/>
    </row>
    <row r="1022" spans="1:90" s="461" customFormat="1" ht="12" customHeight="1" x14ac:dyDescent="0.15">
      <c r="A1022" s="522" t="s">
        <v>3204</v>
      </c>
      <c r="B1022" s="467">
        <v>42631</v>
      </c>
      <c r="C1022" s="468" t="s">
        <v>3633</v>
      </c>
      <c r="D1022" s="468" t="s">
        <v>3295</v>
      </c>
      <c r="E1022" s="468" t="s">
        <v>4337</v>
      </c>
      <c r="F1022" s="468" t="s">
        <v>788</v>
      </c>
      <c r="G1022" s="466">
        <v>4</v>
      </c>
      <c r="H1022" s="465">
        <v>5.5</v>
      </c>
      <c r="I1022" s="466" t="s">
        <v>3730</v>
      </c>
      <c r="J1022" s="466"/>
      <c r="K1022" s="466">
        <v>10</v>
      </c>
      <c r="L1022" s="465"/>
      <c r="M1022" s="463">
        <v>22000</v>
      </c>
      <c r="N1022" s="468" t="s">
        <v>4720</v>
      </c>
      <c r="O1022" s="466">
        <v>10</v>
      </c>
      <c r="P1022" s="523">
        <v>-7.75</v>
      </c>
      <c r="Q1022" s="462">
        <v>7.280092592592593E-4</v>
      </c>
      <c r="R1022" s="463">
        <v>0</v>
      </c>
      <c r="S1022" s="466"/>
      <c r="T1022" s="639"/>
      <c r="W1022" s="460"/>
      <c r="AY1022" s="486" t="str">
        <f t="shared" si="66"/>
        <v/>
      </c>
      <c r="AZ1022" s="487" t="str">
        <f t="shared" si="67"/>
        <v/>
      </c>
      <c r="CH1022" s="459"/>
    </row>
    <row r="1023" spans="1:90" s="461" customFormat="1" ht="12" customHeight="1" x14ac:dyDescent="0.15">
      <c r="A1023" s="522" t="s">
        <v>3470</v>
      </c>
      <c r="B1023" s="467">
        <v>42631</v>
      </c>
      <c r="C1023" s="468" t="s">
        <v>3471</v>
      </c>
      <c r="D1023" s="468" t="s">
        <v>5674</v>
      </c>
      <c r="E1023" s="468" t="s">
        <v>1310</v>
      </c>
      <c r="F1023" s="468" t="s">
        <v>4738</v>
      </c>
      <c r="G1023" s="466">
        <v>6</v>
      </c>
      <c r="H1023" s="465">
        <v>5</v>
      </c>
      <c r="I1023" s="466"/>
      <c r="J1023" s="466"/>
      <c r="K1023" s="466">
        <v>15</v>
      </c>
      <c r="L1023" s="465" t="s">
        <v>431</v>
      </c>
      <c r="M1023" s="463">
        <v>1786</v>
      </c>
      <c r="N1023" s="468" t="s">
        <v>5185</v>
      </c>
      <c r="O1023" s="466">
        <v>3</v>
      </c>
      <c r="P1023" s="523">
        <v>-1</v>
      </c>
      <c r="Q1023" s="462">
        <v>8.3356481481481476E-4</v>
      </c>
      <c r="R1023" s="463">
        <v>30</v>
      </c>
      <c r="S1023" s="466" t="s">
        <v>625</v>
      </c>
      <c r="T1023" s="639"/>
      <c r="W1023" s="460"/>
      <c r="AY1023" s="486">
        <f t="shared" si="66"/>
        <v>30</v>
      </c>
      <c r="AZ1023" s="487" t="str">
        <f t="shared" si="67"/>
        <v/>
      </c>
      <c r="CH1023" s="459"/>
    </row>
    <row r="1024" spans="1:90" s="461" customFormat="1" ht="12" customHeight="1" x14ac:dyDescent="0.15">
      <c r="A1024" s="522" t="s">
        <v>3932</v>
      </c>
      <c r="B1024" s="467">
        <v>42631</v>
      </c>
      <c r="C1024" s="468" t="s">
        <v>3952</v>
      </c>
      <c r="D1024" s="468" t="s">
        <v>3948</v>
      </c>
      <c r="E1024" s="468" t="s">
        <v>5520</v>
      </c>
      <c r="F1024" s="468" t="s">
        <v>4738</v>
      </c>
      <c r="G1024" s="466">
        <v>6</v>
      </c>
      <c r="H1024" s="465">
        <v>5</v>
      </c>
      <c r="I1024" s="466"/>
      <c r="J1024" s="466"/>
      <c r="K1024" s="466">
        <v>15</v>
      </c>
      <c r="L1024" s="465" t="s">
        <v>431</v>
      </c>
      <c r="M1024" s="463">
        <v>1786</v>
      </c>
      <c r="N1024" s="468" t="s">
        <v>5185</v>
      </c>
      <c r="O1024" s="466">
        <v>10</v>
      </c>
      <c r="P1024" s="523">
        <v>-11.75</v>
      </c>
      <c r="Q1024" s="462">
        <v>8.3356481481481476E-4</v>
      </c>
      <c r="R1024" s="463">
        <v>30</v>
      </c>
      <c r="S1024" s="466" t="s">
        <v>625</v>
      </c>
      <c r="T1024" s="524"/>
      <c r="W1024" s="460"/>
      <c r="AY1024" s="486">
        <f t="shared" si="66"/>
        <v>30</v>
      </c>
      <c r="AZ1024" s="487" t="str">
        <f t="shared" si="67"/>
        <v/>
      </c>
      <c r="CH1024" s="459"/>
    </row>
    <row r="1025" spans="1:86" s="461" customFormat="1" ht="12" customHeight="1" x14ac:dyDescent="0.15">
      <c r="A1025" s="522" t="s">
        <v>4700</v>
      </c>
      <c r="B1025" s="467">
        <v>42631</v>
      </c>
      <c r="C1025" s="468" t="s">
        <v>4701</v>
      </c>
      <c r="D1025" s="468" t="s">
        <v>4702</v>
      </c>
      <c r="E1025" s="468" t="s">
        <v>3957</v>
      </c>
      <c r="F1025" s="468" t="s">
        <v>3685</v>
      </c>
      <c r="G1025" s="466">
        <v>7</v>
      </c>
      <c r="H1025" s="465">
        <v>6</v>
      </c>
      <c r="I1025" s="466"/>
      <c r="J1025" s="466"/>
      <c r="K1025" s="466">
        <v>13</v>
      </c>
      <c r="L1025" s="525">
        <f>7/2</f>
        <v>3.5</v>
      </c>
      <c r="M1025" s="463">
        <v>2783</v>
      </c>
      <c r="N1025" s="468" t="s">
        <v>5185</v>
      </c>
      <c r="O1025" s="466">
        <v>4</v>
      </c>
      <c r="P1025" s="523">
        <v>-7.5</v>
      </c>
      <c r="Q1025" s="462">
        <v>8.4548611111111109E-4</v>
      </c>
      <c r="R1025" s="463">
        <v>112</v>
      </c>
      <c r="S1025" s="466" t="s">
        <v>625</v>
      </c>
      <c r="T1025" s="639"/>
      <c r="W1025" s="460"/>
      <c r="AY1025" s="486">
        <f t="shared" si="66"/>
        <v>112</v>
      </c>
      <c r="AZ1025" s="487" t="str">
        <f t="shared" si="67"/>
        <v/>
      </c>
      <c r="CH1025" s="459"/>
    </row>
    <row r="1026" spans="1:86" s="461" customFormat="1" ht="12" customHeight="1" x14ac:dyDescent="0.15">
      <c r="A1026" s="522" t="s">
        <v>3455</v>
      </c>
      <c r="B1026" s="467">
        <v>42631</v>
      </c>
      <c r="C1026" s="468" t="s">
        <v>4525</v>
      </c>
      <c r="D1026" s="468" t="s">
        <v>3485</v>
      </c>
      <c r="E1026" s="468" t="s">
        <v>1310</v>
      </c>
      <c r="F1026" s="468" t="s">
        <v>3685</v>
      </c>
      <c r="G1026" s="466">
        <v>7</v>
      </c>
      <c r="H1026" s="465">
        <v>6</v>
      </c>
      <c r="I1026" s="466"/>
      <c r="J1026" s="466"/>
      <c r="K1026" s="466">
        <v>13</v>
      </c>
      <c r="L1026" s="525">
        <f>7/2</f>
        <v>3.5</v>
      </c>
      <c r="M1026" s="463">
        <v>2783</v>
      </c>
      <c r="N1026" s="468" t="s">
        <v>5185</v>
      </c>
      <c r="O1026" s="466">
        <v>6</v>
      </c>
      <c r="P1026" s="523">
        <v>-4.5</v>
      </c>
      <c r="Q1026" s="462">
        <v>8.4548611111111109E-4</v>
      </c>
      <c r="R1026" s="463">
        <v>65</v>
      </c>
      <c r="S1026" s="466" t="s">
        <v>625</v>
      </c>
      <c r="T1026" s="639" t="s">
        <v>3755</v>
      </c>
      <c r="W1026" s="460"/>
      <c r="AY1026" s="486">
        <f t="shared" si="66"/>
        <v>65</v>
      </c>
      <c r="AZ1026" s="487" t="str">
        <f t="shared" si="67"/>
        <v/>
      </c>
      <c r="CH1026" s="459"/>
    </row>
    <row r="1027" spans="1:86" s="461" customFormat="1" ht="12" customHeight="1" x14ac:dyDescent="0.15">
      <c r="A1027" s="522" t="s">
        <v>3944</v>
      </c>
      <c r="B1027" s="467">
        <v>42631</v>
      </c>
      <c r="C1027" s="468" t="s">
        <v>3949</v>
      </c>
      <c r="D1027" s="468" t="s">
        <v>3213</v>
      </c>
      <c r="E1027" s="468" t="s">
        <v>1310</v>
      </c>
      <c r="F1027" s="468" t="s">
        <v>4738</v>
      </c>
      <c r="G1027" s="466">
        <v>7</v>
      </c>
      <c r="H1027" s="465">
        <v>7</v>
      </c>
      <c r="I1027" s="466"/>
      <c r="J1027" s="466"/>
      <c r="K1027" s="466">
        <v>11</v>
      </c>
      <c r="L1027" s="465" t="s">
        <v>431</v>
      </c>
      <c r="M1027" s="463">
        <v>5837</v>
      </c>
      <c r="N1027" s="468" t="s">
        <v>5676</v>
      </c>
      <c r="O1027" s="466">
        <v>4</v>
      </c>
      <c r="P1027" s="523">
        <v>-5.5</v>
      </c>
      <c r="Q1027" s="462">
        <v>1.0450231481481482E-3</v>
      </c>
      <c r="R1027" s="463">
        <v>30</v>
      </c>
      <c r="S1027" s="466" t="s">
        <v>625</v>
      </c>
      <c r="T1027" s="639" t="s">
        <v>3755</v>
      </c>
      <c r="W1027" s="460"/>
      <c r="AY1027" s="486">
        <f t="shared" si="66"/>
        <v>30</v>
      </c>
      <c r="AZ1027" s="487" t="str">
        <f t="shared" si="67"/>
        <v/>
      </c>
      <c r="CH1027" s="459"/>
    </row>
    <row r="1028" spans="1:86" s="461" customFormat="1" ht="12" customHeight="1" x14ac:dyDescent="0.15">
      <c r="A1028" s="522" t="s">
        <v>2170</v>
      </c>
      <c r="B1028" s="467">
        <v>42631</v>
      </c>
      <c r="C1028" s="468" t="s">
        <v>5719</v>
      </c>
      <c r="D1028" s="468" t="s">
        <v>5734</v>
      </c>
      <c r="E1028" s="468" t="s">
        <v>5735</v>
      </c>
      <c r="F1028" s="468" t="s">
        <v>788</v>
      </c>
      <c r="G1028" s="466">
        <v>9</v>
      </c>
      <c r="H1028" s="465">
        <v>5.5</v>
      </c>
      <c r="I1028" s="466" t="s">
        <v>3730</v>
      </c>
      <c r="J1028" s="466"/>
      <c r="K1028" s="466">
        <v>8</v>
      </c>
      <c r="L1028" s="465">
        <v>20</v>
      </c>
      <c r="M1028" s="463">
        <v>45000</v>
      </c>
      <c r="N1028" s="468" t="s">
        <v>4542</v>
      </c>
      <c r="O1028" s="466">
        <v>8</v>
      </c>
      <c r="P1028" s="523">
        <v>-6.75</v>
      </c>
      <c r="Q1028" s="462">
        <v>7.1527777777777779E-4</v>
      </c>
      <c r="R1028" s="463">
        <v>0</v>
      </c>
      <c r="S1028" s="466"/>
      <c r="T1028" s="639"/>
      <c r="W1028" s="460"/>
      <c r="AY1028" s="486" t="str">
        <f t="shared" si="66"/>
        <v/>
      </c>
      <c r="AZ1028" s="487" t="str">
        <f t="shared" si="67"/>
        <v/>
      </c>
      <c r="CH1028" s="459"/>
    </row>
    <row r="1029" spans="1:86" s="469" customFormat="1" ht="12" customHeight="1" x14ac:dyDescent="0.15">
      <c r="A1029" s="471" t="s">
        <v>1816</v>
      </c>
      <c r="B1029" s="472">
        <v>42631</v>
      </c>
      <c r="C1029" s="471" t="s">
        <v>3704</v>
      </c>
      <c r="D1029" s="471" t="s">
        <v>3705</v>
      </c>
      <c r="E1029" s="471" t="s">
        <v>3188</v>
      </c>
      <c r="F1029" s="471" t="s">
        <v>4828</v>
      </c>
      <c r="G1029" s="473">
        <v>6</v>
      </c>
      <c r="H1029" s="474">
        <v>8</v>
      </c>
      <c r="I1029" s="475" t="s">
        <v>1360</v>
      </c>
      <c r="J1029" s="475"/>
      <c r="K1029" s="473">
        <v>13</v>
      </c>
      <c r="L1029" s="485" t="s">
        <v>431</v>
      </c>
      <c r="M1029" s="476">
        <v>200000</v>
      </c>
      <c r="N1029" s="471" t="s">
        <v>5680</v>
      </c>
      <c r="O1029" s="637" t="s">
        <v>431</v>
      </c>
      <c r="P1029" s="478" t="s">
        <v>431</v>
      </c>
      <c r="Q1029" s="479" t="s">
        <v>431</v>
      </c>
      <c r="R1029" s="480" t="s">
        <v>431</v>
      </c>
      <c r="S1029" s="477"/>
      <c r="T1029" s="481" t="s">
        <v>4110</v>
      </c>
      <c r="U1029" s="482"/>
      <c r="V1029" s="482"/>
      <c r="W1029" s="483"/>
      <c r="X1029" s="482"/>
      <c r="Y1029" s="482"/>
      <c r="Z1029" s="482"/>
      <c r="AA1029" s="482"/>
      <c r="AB1029" s="482"/>
      <c r="AC1029" s="482"/>
      <c r="AD1029" s="482"/>
      <c r="AE1029" s="482"/>
      <c r="AF1029" s="482"/>
      <c r="AG1029" s="482"/>
      <c r="AH1029" s="482"/>
      <c r="AI1029" s="482"/>
      <c r="AJ1029" s="482"/>
      <c r="AK1029" s="482"/>
      <c r="AL1029" s="482"/>
      <c r="AM1029" s="482"/>
      <c r="AN1029" s="482"/>
      <c r="AO1029" s="482"/>
      <c r="AP1029" s="482"/>
      <c r="AQ1029" s="482"/>
      <c r="AR1029" s="482"/>
      <c r="AS1029" s="482"/>
      <c r="AT1029" s="482"/>
      <c r="AU1029" s="482"/>
      <c r="AV1029" s="482"/>
      <c r="AW1029" s="482"/>
      <c r="AX1029" s="482"/>
      <c r="AY1029" s="486" t="str">
        <f t="shared" si="66"/>
        <v/>
      </c>
      <c r="AZ1029" s="487" t="str">
        <f t="shared" si="67"/>
        <v/>
      </c>
      <c r="BA1029" s="482"/>
      <c r="BB1029" s="482"/>
      <c r="BC1029" s="482"/>
      <c r="BD1029" s="482"/>
      <c r="BE1029" s="482"/>
      <c r="BF1029" s="482"/>
      <c r="BG1029" s="482"/>
      <c r="BH1029" s="482"/>
      <c r="BI1029" s="482"/>
      <c r="BJ1029" s="482"/>
      <c r="BK1029" s="482"/>
      <c r="BL1029" s="482"/>
      <c r="BM1029" s="482"/>
      <c r="BN1029" s="482"/>
      <c r="BO1029" s="482"/>
      <c r="BP1029" s="482"/>
      <c r="BQ1029" s="482"/>
      <c r="BR1029" s="482"/>
      <c r="BS1029" s="482"/>
      <c r="BT1029" s="482"/>
      <c r="BU1029" s="482"/>
      <c r="BV1029" s="482"/>
      <c r="BW1029" s="482"/>
      <c r="BX1029" s="482"/>
      <c r="BY1029" s="482"/>
      <c r="BZ1029" s="482"/>
      <c r="CA1029" s="482"/>
      <c r="CB1029" s="482"/>
      <c r="CC1029" s="482"/>
      <c r="CD1029" s="482"/>
      <c r="CE1029" s="482"/>
      <c r="CF1029" s="482"/>
      <c r="CG1029" s="482"/>
      <c r="CH1029" s="484"/>
    </row>
    <row r="1030" spans="1:86" s="461" customFormat="1" ht="12" customHeight="1" x14ac:dyDescent="0.15">
      <c r="A1030" s="522" t="s">
        <v>2227</v>
      </c>
      <c r="B1030" s="467">
        <v>42632</v>
      </c>
      <c r="C1030" s="468" t="s">
        <v>3756</v>
      </c>
      <c r="D1030" s="468" t="s">
        <v>3757</v>
      </c>
      <c r="E1030" s="468" t="s">
        <v>4349</v>
      </c>
      <c r="F1030" s="468" t="s">
        <v>4171</v>
      </c>
      <c r="G1030" s="466">
        <v>4</v>
      </c>
      <c r="H1030" s="465">
        <v>7</v>
      </c>
      <c r="I1030" s="466"/>
      <c r="J1030" s="466"/>
      <c r="K1030" s="466">
        <v>7</v>
      </c>
      <c r="L1030" s="525">
        <v>10</v>
      </c>
      <c r="M1030" s="463">
        <v>42000</v>
      </c>
      <c r="N1030" s="468" t="s">
        <v>4820</v>
      </c>
      <c r="O1030" s="466"/>
      <c r="P1030" s="523"/>
      <c r="Q1030" s="462"/>
      <c r="R1030" s="463"/>
      <c r="S1030" s="466"/>
      <c r="T1030" s="639"/>
      <c r="W1030" s="460"/>
      <c r="AY1030" s="486" t="str">
        <f t="shared" si="66"/>
        <v/>
      </c>
      <c r="AZ1030" s="487" t="str">
        <f t="shared" si="67"/>
        <v/>
      </c>
      <c r="CH1030" s="459"/>
    </row>
    <row r="1031" spans="1:86" s="461" customFormat="1" ht="12" customHeight="1" x14ac:dyDescent="0.15">
      <c r="A1031" s="522" t="s">
        <v>3266</v>
      </c>
      <c r="B1031" s="467">
        <v>42632</v>
      </c>
      <c r="C1031" s="468" t="s">
        <v>4333</v>
      </c>
      <c r="D1031" s="468" t="s">
        <v>3705</v>
      </c>
      <c r="E1031" s="468" t="s">
        <v>3856</v>
      </c>
      <c r="F1031" s="468" t="s">
        <v>4171</v>
      </c>
      <c r="G1031" s="466">
        <v>8</v>
      </c>
      <c r="H1031" s="465">
        <v>8.3000000000000007</v>
      </c>
      <c r="I1031" s="466" t="s">
        <v>3730</v>
      </c>
      <c r="J1031" s="466"/>
      <c r="K1031" s="466">
        <v>10</v>
      </c>
      <c r="L1031" s="525">
        <v>5</v>
      </c>
      <c r="M1031" s="463">
        <v>42000</v>
      </c>
      <c r="N1031" s="468" t="s">
        <v>4578</v>
      </c>
      <c r="O1031" s="466"/>
      <c r="P1031" s="523"/>
      <c r="Q1031" s="462"/>
      <c r="R1031" s="463"/>
      <c r="S1031" s="466"/>
      <c r="T1031" s="639"/>
      <c r="W1031" s="460"/>
      <c r="AY1031" s="486" t="str">
        <f t="shared" si="66"/>
        <v/>
      </c>
      <c r="AZ1031" s="487" t="str">
        <f t="shared" si="67"/>
        <v/>
      </c>
      <c r="CH1031" s="459"/>
    </row>
    <row r="1032" spans="1:86" s="461" customFormat="1" ht="12" customHeight="1" x14ac:dyDescent="0.15">
      <c r="A1032" s="522" t="s">
        <v>1666</v>
      </c>
      <c r="B1032" s="467">
        <v>42632</v>
      </c>
      <c r="C1032" s="468" t="s">
        <v>4846</v>
      </c>
      <c r="D1032" s="468" t="s">
        <v>4826</v>
      </c>
      <c r="E1032" s="468" t="s">
        <v>4981</v>
      </c>
      <c r="F1032" s="468" t="s">
        <v>1164</v>
      </c>
      <c r="G1032" s="466">
        <v>8</v>
      </c>
      <c r="H1032" s="465">
        <v>8.5</v>
      </c>
      <c r="I1032" s="466"/>
      <c r="J1032" s="466"/>
      <c r="K1032" s="466">
        <v>6</v>
      </c>
      <c r="L1032" s="525">
        <f>7/5</f>
        <v>1.4</v>
      </c>
      <c r="M1032" s="463">
        <v>50000</v>
      </c>
      <c r="N1032" s="468" t="s">
        <v>5486</v>
      </c>
      <c r="O1032" s="466"/>
      <c r="P1032" s="523"/>
      <c r="Q1032" s="462"/>
      <c r="R1032" s="463"/>
      <c r="S1032" s="466"/>
      <c r="T1032" s="639" t="s">
        <v>3714</v>
      </c>
      <c r="W1032" s="460"/>
      <c r="AY1032" s="486" t="str">
        <f t="shared" si="66"/>
        <v/>
      </c>
      <c r="AZ1032" s="487" t="str">
        <f t="shared" si="67"/>
        <v/>
      </c>
      <c r="CH1032" s="459"/>
    </row>
    <row r="1033" spans="1:86" s="461" customFormat="1" ht="12" customHeight="1" x14ac:dyDescent="0.15">
      <c r="A1033" s="522" t="s">
        <v>1529</v>
      </c>
      <c r="B1033" s="467">
        <v>42634</v>
      </c>
      <c r="C1033" s="468" t="s">
        <v>3617</v>
      </c>
      <c r="D1033" s="468" t="s">
        <v>5566</v>
      </c>
      <c r="E1033" s="468" t="s">
        <v>5740</v>
      </c>
      <c r="F1033" s="468" t="s">
        <v>433</v>
      </c>
      <c r="G1033" s="466">
        <v>2</v>
      </c>
      <c r="H1033" s="465">
        <v>6.5</v>
      </c>
      <c r="I1033" s="466"/>
      <c r="J1033" s="466"/>
      <c r="K1033" s="466">
        <v>6</v>
      </c>
      <c r="L1033" s="525"/>
      <c r="M1033" s="463">
        <v>47000</v>
      </c>
      <c r="N1033" s="468" t="s">
        <v>4598</v>
      </c>
      <c r="O1033" s="466"/>
      <c r="P1033" s="523"/>
      <c r="Q1033" s="462"/>
      <c r="R1033" s="463"/>
      <c r="S1033" s="466"/>
      <c r="T1033" s="639"/>
      <c r="W1033" s="460"/>
      <c r="AY1033" s="486" t="str">
        <f t="shared" si="66"/>
        <v/>
      </c>
      <c r="AZ1033" s="487" t="str">
        <f t="shared" si="67"/>
        <v/>
      </c>
      <c r="CH1033" s="459"/>
    </row>
    <row r="1034" spans="1:86" s="461" customFormat="1" ht="12" customHeight="1" x14ac:dyDescent="0.15">
      <c r="A1034" s="522" t="s">
        <v>2364</v>
      </c>
      <c r="B1034" s="467">
        <v>42634</v>
      </c>
      <c r="C1034" s="468" t="s">
        <v>3922</v>
      </c>
      <c r="D1034" s="468" t="s">
        <v>3923</v>
      </c>
      <c r="E1034" s="468" t="s">
        <v>4993</v>
      </c>
      <c r="F1034" s="468" t="s">
        <v>4828</v>
      </c>
      <c r="G1034" s="466">
        <v>5</v>
      </c>
      <c r="H1034" s="465">
        <v>6</v>
      </c>
      <c r="I1034" s="466" t="s">
        <v>1360</v>
      </c>
      <c r="J1034" s="466"/>
      <c r="K1034" s="466">
        <v>7</v>
      </c>
      <c r="L1034" s="525">
        <v>8</v>
      </c>
      <c r="M1034" s="463">
        <v>14000</v>
      </c>
      <c r="N1034" s="468" t="s">
        <v>197</v>
      </c>
      <c r="O1034" s="466"/>
      <c r="P1034" s="523"/>
      <c r="Q1034" s="462"/>
      <c r="R1034" s="463"/>
      <c r="S1034" s="466"/>
      <c r="T1034" s="639"/>
      <c r="W1034" s="460"/>
      <c r="AY1034" s="486" t="str">
        <f t="shared" si="66"/>
        <v/>
      </c>
      <c r="AZ1034" s="487" t="str">
        <f t="shared" si="67"/>
        <v/>
      </c>
      <c r="CH1034" s="459"/>
    </row>
    <row r="1035" spans="1:86" s="461" customFormat="1" ht="12" customHeight="1" x14ac:dyDescent="0.15">
      <c r="A1035" s="522" t="s">
        <v>2127</v>
      </c>
      <c r="B1035" s="467">
        <v>42634</v>
      </c>
      <c r="C1035" s="468" t="s">
        <v>1838</v>
      </c>
      <c r="D1035" s="468" t="s">
        <v>3842</v>
      </c>
      <c r="E1035" s="468" t="s">
        <v>3843</v>
      </c>
      <c r="F1035" s="468" t="s">
        <v>993</v>
      </c>
      <c r="G1035" s="466">
        <v>4</v>
      </c>
      <c r="H1035" s="465">
        <v>6.5</v>
      </c>
      <c r="I1035" s="466"/>
      <c r="J1035" s="466"/>
      <c r="K1035" s="466">
        <v>6</v>
      </c>
      <c r="L1035" s="525"/>
      <c r="M1035" s="463">
        <v>10000</v>
      </c>
      <c r="N1035" s="468" t="s">
        <v>197</v>
      </c>
      <c r="O1035" s="466"/>
      <c r="P1035" s="523"/>
      <c r="Q1035" s="462"/>
      <c r="R1035" s="463"/>
      <c r="S1035" s="466"/>
      <c r="T1035" s="639"/>
      <c r="W1035" s="460"/>
      <c r="AY1035" s="486" t="str">
        <f t="shared" si="66"/>
        <v/>
      </c>
      <c r="AZ1035" s="487" t="str">
        <f t="shared" si="67"/>
        <v/>
      </c>
      <c r="CH1035" s="459"/>
    </row>
    <row r="1036" spans="1:86" s="461" customFormat="1" ht="12" customHeight="1" x14ac:dyDescent="0.15">
      <c r="A1036" s="522" t="s">
        <v>2276</v>
      </c>
      <c r="B1036" s="467">
        <v>42636</v>
      </c>
      <c r="C1036" s="468" t="s">
        <v>5743</v>
      </c>
      <c r="D1036" s="468" t="s">
        <v>5744</v>
      </c>
      <c r="E1036" s="468" t="s">
        <v>5337</v>
      </c>
      <c r="F1036" s="468" t="s">
        <v>2376</v>
      </c>
      <c r="G1036" s="466">
        <v>5</v>
      </c>
      <c r="H1036" s="465">
        <v>8</v>
      </c>
      <c r="I1036" s="466"/>
      <c r="J1036" s="466"/>
      <c r="K1036" s="466">
        <v>6</v>
      </c>
      <c r="L1036" s="525"/>
      <c r="M1036" s="463">
        <v>33300</v>
      </c>
      <c r="N1036" s="468" t="s">
        <v>4578</v>
      </c>
      <c r="O1036" s="466"/>
      <c r="P1036" s="523"/>
      <c r="Q1036" s="462"/>
      <c r="R1036" s="463"/>
      <c r="S1036" s="466"/>
      <c r="T1036" s="639"/>
      <c r="W1036" s="460"/>
      <c r="AY1036" s="486" t="str">
        <f t="shared" si="66"/>
        <v/>
      </c>
      <c r="AZ1036" s="487" t="str">
        <f t="shared" si="67"/>
        <v/>
      </c>
      <c r="CH1036" s="459"/>
    </row>
    <row r="1037" spans="1:86" s="461" customFormat="1" ht="12" customHeight="1" x14ac:dyDescent="0.15">
      <c r="A1037" s="522" t="s">
        <v>4294</v>
      </c>
      <c r="B1037" s="467">
        <v>42638</v>
      </c>
      <c r="C1037" s="468" t="s">
        <v>3951</v>
      </c>
      <c r="D1037" s="468" t="s">
        <v>4207</v>
      </c>
      <c r="E1037" s="468" t="s">
        <v>5195</v>
      </c>
      <c r="F1037" s="468" t="s">
        <v>4070</v>
      </c>
      <c r="G1037" s="466">
        <v>3</v>
      </c>
      <c r="H1037" s="465">
        <v>5</v>
      </c>
      <c r="I1037" s="466"/>
      <c r="J1037" s="466"/>
      <c r="K1037" s="466">
        <v>7</v>
      </c>
      <c r="L1037" s="465" t="s">
        <v>431</v>
      </c>
      <c r="M1037" s="463">
        <v>3081</v>
      </c>
      <c r="N1037" s="468" t="s">
        <v>3348</v>
      </c>
      <c r="O1037" s="466"/>
      <c r="P1037" s="523"/>
      <c r="Q1037" s="462"/>
      <c r="R1037" s="463"/>
      <c r="S1037" s="466"/>
      <c r="T1037" s="639"/>
      <c r="W1037" s="460"/>
      <c r="AY1037" s="486" t="str">
        <f t="shared" si="66"/>
        <v/>
      </c>
      <c r="AZ1037" s="487" t="str">
        <f t="shared" si="67"/>
        <v/>
      </c>
      <c r="CH1037" s="459"/>
    </row>
    <row r="1038" spans="1:86" s="234" customFormat="1" ht="12" customHeight="1" thickBot="1" x14ac:dyDescent="0.2">
      <c r="A1038" s="262"/>
      <c r="B1038" s="263"/>
      <c r="C1038" s="264"/>
      <c r="D1038" s="264"/>
      <c r="E1038" s="264"/>
      <c r="F1038" s="264"/>
      <c r="G1038" s="265"/>
      <c r="H1038" s="266"/>
      <c r="I1038" s="267"/>
      <c r="J1038" s="267"/>
      <c r="K1038" s="265"/>
      <c r="L1038" s="488"/>
      <c r="M1038" s="268"/>
      <c r="N1038" s="264"/>
      <c r="O1038" s="265"/>
      <c r="P1038" s="269"/>
      <c r="Q1038" s="270"/>
      <c r="R1038" s="629"/>
      <c r="S1038" s="265"/>
      <c r="T1038" s="271"/>
      <c r="U1038" s="271"/>
      <c r="V1038" s="271"/>
      <c r="W1038" s="272"/>
      <c r="X1038" s="271"/>
      <c r="Y1038" s="271"/>
      <c r="Z1038" s="271"/>
      <c r="AA1038" s="271"/>
      <c r="AB1038" s="271"/>
      <c r="AC1038" s="271"/>
      <c r="AD1038" s="271"/>
      <c r="AE1038" s="271"/>
      <c r="AF1038" s="271"/>
      <c r="AG1038" s="271"/>
      <c r="AH1038" s="271"/>
      <c r="AI1038" s="271"/>
      <c r="AJ1038" s="271"/>
      <c r="AK1038" s="271"/>
      <c r="AL1038" s="271"/>
      <c r="AM1038" s="271"/>
      <c r="AN1038" s="271"/>
      <c r="AO1038" s="271"/>
      <c r="AP1038" s="271"/>
      <c r="AQ1038" s="271"/>
      <c r="AR1038" s="271"/>
      <c r="AS1038" s="271"/>
      <c r="AT1038" s="271"/>
      <c r="AU1038" s="271"/>
      <c r="AV1038" s="271"/>
      <c r="AW1038" s="271"/>
      <c r="AX1038" s="271"/>
      <c r="AY1038" s="486" t="str">
        <f t="shared" si="66"/>
        <v/>
      </c>
      <c r="AZ1038" s="487" t="str">
        <f t="shared" si="67"/>
        <v/>
      </c>
      <c r="BA1038" s="271"/>
      <c r="CH1038" s="260"/>
    </row>
    <row r="1039" spans="1:86" s="243" customFormat="1" ht="12" customHeight="1" thickTop="1" x14ac:dyDescent="0.15">
      <c r="A1039" s="273"/>
      <c r="B1039" s="274"/>
      <c r="C1039" s="241"/>
      <c r="D1039" s="241"/>
      <c r="E1039" s="241"/>
      <c r="F1039" s="241"/>
      <c r="G1039" s="237"/>
      <c r="H1039" s="238"/>
      <c r="I1039" s="275"/>
      <c r="J1039" s="275"/>
      <c r="K1039" s="237"/>
      <c r="L1039" s="276"/>
      <c r="M1039" s="277"/>
      <c r="N1039" s="241"/>
      <c r="O1039" s="237"/>
      <c r="P1039" s="278"/>
      <c r="Q1039" s="279" t="s">
        <v>647</v>
      </c>
      <c r="R1039" s="280">
        <f>SUM(R6:R1038)</f>
        <v>2433239</v>
      </c>
      <c r="S1039" s="281"/>
      <c r="T1039" s="276"/>
      <c r="U1039" s="282"/>
      <c r="W1039" s="282"/>
      <c r="AY1039" s="282">
        <f>SUM(AY5:AY1038)</f>
        <v>440241</v>
      </c>
      <c r="AZ1039" s="242">
        <f>SUM(AZ5:AZ1038)</f>
        <v>118</v>
      </c>
      <c r="CH1039" s="284" t="str">
        <f>IF(B1039="","",B1039-#REF!)</f>
        <v/>
      </c>
    </row>
    <row r="1040" spans="1:86" s="243" customFormat="1" ht="13.5" customHeight="1" x14ac:dyDescent="0.15">
      <c r="A1040" s="529" t="s">
        <v>5745</v>
      </c>
      <c r="B1040" s="274"/>
      <c r="C1040" s="241"/>
      <c r="D1040" s="241"/>
      <c r="E1040" s="241"/>
      <c r="F1040" s="529" t="s">
        <v>5745</v>
      </c>
      <c r="G1040" s="237"/>
      <c r="H1040" s="285"/>
      <c r="I1040" s="275"/>
      <c r="J1040" s="275"/>
      <c r="K1040" s="237"/>
      <c r="L1040" s="276"/>
      <c r="M1040" s="277"/>
      <c r="N1040" s="557" t="str">
        <f>IF(N1050=1000,"CAREER WIN 1,000!!","")</f>
        <v/>
      </c>
      <c r="O1040" s="237"/>
      <c r="P1040" s="278"/>
      <c r="Q1040" s="279" t="s">
        <v>570</v>
      </c>
      <c r="R1040" s="280">
        <f>R1039/COUNT(R6:R1038)</f>
        <v>2812.993063583815</v>
      </c>
      <c r="S1040" s="281"/>
      <c r="T1040" s="286"/>
      <c r="W1040" s="282"/>
      <c r="AY1040" s="283"/>
      <c r="AZ1040" s="242"/>
      <c r="CH1040" s="284" t="str">
        <f>IF(B1040="","",B1040-#REF!)</f>
        <v/>
      </c>
    </row>
    <row r="1041" spans="1:86" s="291" customFormat="1" ht="12" customHeight="1" x14ac:dyDescent="0.15">
      <c r="A1041" s="345" t="s">
        <v>3688</v>
      </c>
      <c r="B1041" s="287"/>
      <c r="C1041" s="345" t="s">
        <v>3709</v>
      </c>
      <c r="D1041" s="285"/>
      <c r="E1041" s="285"/>
      <c r="F1041" s="241"/>
      <c r="G1041" s="237"/>
      <c r="H1041" s="237"/>
      <c r="I1041" s="288"/>
      <c r="J1041" s="275"/>
      <c r="K1041" s="237"/>
      <c r="L1041" s="276"/>
      <c r="M1041" s="289"/>
      <c r="N1041" s="285"/>
      <c r="O1041" s="237"/>
      <c r="P1041" s="278"/>
      <c r="Q1041" s="290"/>
      <c r="R1041" s="277"/>
      <c r="S1041" s="237"/>
      <c r="T1041" s="286"/>
      <c r="U1041" s="243"/>
      <c r="V1041" s="243"/>
      <c r="W1041" s="282"/>
      <c r="X1041" s="243"/>
      <c r="Y1041" s="243"/>
      <c r="Z1041" s="243"/>
      <c r="AA1041" s="243"/>
      <c r="AB1041" s="243"/>
      <c r="AC1041" s="243"/>
      <c r="AD1041" s="243"/>
      <c r="AE1041" s="243"/>
      <c r="AF1041" s="243"/>
      <c r="AG1041" s="243"/>
      <c r="AH1041" s="243"/>
      <c r="AI1041" s="243"/>
      <c r="AJ1041" s="243"/>
      <c r="AK1041" s="243"/>
      <c r="AL1041" s="243"/>
      <c r="AM1041" s="243"/>
      <c r="AN1041" s="243"/>
      <c r="AO1041" s="243"/>
      <c r="AP1041" s="243"/>
      <c r="AQ1041" s="243"/>
      <c r="AR1041" s="243"/>
      <c r="AS1041" s="243"/>
      <c r="AT1041" s="243"/>
      <c r="AU1041" s="243"/>
      <c r="AV1041" s="243"/>
      <c r="AW1041" s="243"/>
      <c r="AX1041" s="243"/>
      <c r="AY1041" s="283"/>
      <c r="AZ1041" s="242"/>
      <c r="BA1041" s="243"/>
      <c r="CH1041" s="292"/>
    </row>
    <row r="1042" spans="1:86" s="243" customFormat="1" ht="12" customHeight="1" x14ac:dyDescent="0.15">
      <c r="A1042" s="487" t="s">
        <v>2172</v>
      </c>
      <c r="B1042" s="526">
        <v>4</v>
      </c>
      <c r="C1042" s="522" t="s">
        <v>3310</v>
      </c>
      <c r="D1042" s="468">
        <v>2</v>
      </c>
      <c r="E1042" s="241"/>
      <c r="F1042" s="470"/>
      <c r="G1042" s="293" t="s">
        <v>2000</v>
      </c>
      <c r="H1042" s="293" t="s">
        <v>286</v>
      </c>
      <c r="I1042" s="294" t="s">
        <v>287</v>
      </c>
      <c r="J1042" s="295" t="s">
        <v>288</v>
      </c>
      <c r="K1042" s="293" t="s">
        <v>289</v>
      </c>
      <c r="L1042" s="276"/>
      <c r="M1042" s="277"/>
      <c r="N1042" s="470"/>
      <c r="O1042" s="293"/>
      <c r="P1042" s="296"/>
      <c r="Q1042" s="297" t="s">
        <v>81</v>
      </c>
      <c r="R1042" s="298">
        <f>SUM(AY6:AY1038)</f>
        <v>440241</v>
      </c>
      <c r="S1042" s="293"/>
      <c r="T1042" s="640">
        <f>(R1042/R1039)</f>
        <v>0.18092797296114357</v>
      </c>
      <c r="U1042" s="291"/>
      <c r="V1042" s="291"/>
      <c r="W1042" s="299"/>
      <c r="X1042" s="291"/>
      <c r="Y1042" s="291"/>
      <c r="Z1042" s="291"/>
      <c r="AA1042" s="291"/>
      <c r="AB1042" s="291"/>
      <c r="AC1042" s="291"/>
      <c r="AD1042" s="291"/>
      <c r="AE1042" s="291"/>
      <c r="AF1042" s="291"/>
      <c r="AG1042" s="291"/>
      <c r="AH1042" s="291"/>
      <c r="AI1042" s="291"/>
      <c r="AJ1042" s="291"/>
      <c r="AK1042" s="291"/>
      <c r="AL1042" s="291"/>
      <c r="AM1042" s="291"/>
      <c r="AN1042" s="291"/>
      <c r="AO1042" s="291"/>
      <c r="AP1042" s="291"/>
      <c r="AQ1042" s="291"/>
      <c r="AR1042" s="291"/>
      <c r="AS1042" s="291"/>
      <c r="AT1042" s="291"/>
      <c r="AU1042" s="291"/>
      <c r="AV1042" s="291"/>
      <c r="AW1042" s="291"/>
      <c r="AX1042" s="291"/>
      <c r="AY1042" s="300"/>
      <c r="AZ1042" s="273"/>
      <c r="BA1042" s="291"/>
      <c r="CH1042" s="284"/>
    </row>
    <row r="1043" spans="1:86" s="243" customFormat="1" ht="12" customHeight="1" x14ac:dyDescent="0.15">
      <c r="A1043" s="487" t="s">
        <v>2170</v>
      </c>
      <c r="B1043" s="468">
        <v>3</v>
      </c>
      <c r="C1043" s="522" t="s">
        <v>3825</v>
      </c>
      <c r="D1043" s="470"/>
      <c r="E1043" s="241"/>
      <c r="F1043" s="4" t="s">
        <v>1999</v>
      </c>
      <c r="G1043" s="237">
        <v>112</v>
      </c>
      <c r="H1043" s="237">
        <v>17</v>
      </c>
      <c r="I1043" s="237">
        <v>23</v>
      </c>
      <c r="J1043" s="237">
        <v>13</v>
      </c>
      <c r="K1043" s="237">
        <v>13</v>
      </c>
      <c r="L1043" s="276"/>
      <c r="M1043" s="277"/>
      <c r="N1043" s="241"/>
      <c r="O1043" s="237"/>
      <c r="P1043" s="278"/>
      <c r="Q1043" s="290"/>
      <c r="R1043" s="277"/>
      <c r="S1043" s="237"/>
      <c r="T1043" s="286"/>
      <c r="W1043" s="282"/>
      <c r="AY1043" s="283"/>
      <c r="AZ1043" s="242"/>
      <c r="CH1043" s="284">
        <f>IF(B1043="","",B1043-B1040)</f>
        <v>3</v>
      </c>
    </row>
    <row r="1044" spans="1:86" s="243" customFormat="1" ht="12" customHeight="1" x14ac:dyDescent="0.15">
      <c r="A1044" s="487" t="s">
        <v>2127</v>
      </c>
      <c r="B1044" s="468">
        <v>3</v>
      </c>
      <c r="C1044" s="522" t="s">
        <v>4011</v>
      </c>
      <c r="D1044" s="277"/>
      <c r="E1044" s="241"/>
      <c r="F1044" s="301" t="s">
        <v>2001</v>
      </c>
      <c r="G1044" s="302">
        <f>H1043/G1043</f>
        <v>0.15178571428571427</v>
      </c>
      <c r="H1044" s="237"/>
      <c r="I1044" s="288"/>
      <c r="J1044" s="275"/>
      <c r="K1044" s="237"/>
      <c r="L1044" s="276"/>
      <c r="M1044" s="277"/>
      <c r="N1044" s="303" t="s">
        <v>1779</v>
      </c>
      <c r="O1044" s="238">
        <f>SUM(AZ7:AZ1038)/COUNT(O7:O1038)*100</f>
        <v>13.704994192799072</v>
      </c>
      <c r="P1044" s="278"/>
      <c r="Q1044" s="519" t="s">
        <v>5609</v>
      </c>
      <c r="R1044" s="259">
        <f>COUNT(R928:R1038)</f>
        <v>85</v>
      </c>
      <c r="S1044" s="237"/>
      <c r="T1044" s="286" t="s">
        <v>5379</v>
      </c>
      <c r="U1044" s="242"/>
      <c r="W1044" s="282"/>
      <c r="AY1044" s="283"/>
      <c r="AZ1044" s="242"/>
      <c r="CH1044" s="284"/>
    </row>
    <row r="1045" spans="1:86" s="243" customFormat="1" ht="12" customHeight="1" x14ac:dyDescent="0.15">
      <c r="A1045" s="522" t="s">
        <v>3825</v>
      </c>
      <c r="B1045" s="468">
        <v>3</v>
      </c>
      <c r="C1045" s="241" t="s">
        <v>1816</v>
      </c>
      <c r="D1045" s="470"/>
      <c r="E1045" s="241"/>
      <c r="F1045" s="301" t="s">
        <v>2002</v>
      </c>
      <c r="G1045" s="302">
        <f>(H1043+I1043+J1043)/G1043</f>
        <v>0.4732142857142857</v>
      </c>
      <c r="H1045" s="237"/>
      <c r="I1045" s="275"/>
      <c r="J1045" s="275"/>
      <c r="K1045" s="237"/>
      <c r="L1045" s="276"/>
      <c r="M1045" s="277"/>
      <c r="N1045" s="241"/>
      <c r="O1045" s="237"/>
      <c r="P1045" s="278"/>
      <c r="Q1045" s="290"/>
      <c r="R1045" s="277">
        <f>SUM(R928:R1038)</f>
        <v>212154</v>
      </c>
      <c r="S1045" s="237"/>
      <c r="T1045" s="286" t="s">
        <v>2129</v>
      </c>
      <c r="W1045" s="282"/>
      <c r="AY1045" s="283"/>
      <c r="AZ1045" s="242"/>
      <c r="CH1045" s="284"/>
    </row>
    <row r="1046" spans="1:86" s="243" customFormat="1" ht="12" customHeight="1" x14ac:dyDescent="0.15">
      <c r="A1046" s="487" t="s">
        <v>3154</v>
      </c>
      <c r="B1046" s="526">
        <v>3</v>
      </c>
      <c r="C1046" s="241" t="s">
        <v>2155</v>
      </c>
      <c r="D1046" s="470"/>
      <c r="E1046" s="241"/>
      <c r="F1046" s="470"/>
      <c r="G1046" s="237"/>
      <c r="H1046" s="237"/>
      <c r="I1046" s="275"/>
      <c r="J1046" s="275"/>
      <c r="K1046" s="237"/>
      <c r="L1046" s="276"/>
      <c r="M1046" s="277"/>
      <c r="N1046" s="513" t="s">
        <v>3610</v>
      </c>
      <c r="O1046" s="283"/>
      <c r="P1046" s="278"/>
      <c r="Q1046" s="290"/>
      <c r="R1046" s="277">
        <f>R1045/R1044</f>
        <v>2495.9294117647059</v>
      </c>
      <c r="S1046" s="237"/>
      <c r="T1046" s="286" t="s">
        <v>2130</v>
      </c>
      <c r="W1046" s="282"/>
      <c r="AY1046" s="283"/>
      <c r="AZ1046" s="242"/>
      <c r="CH1046" s="284"/>
    </row>
    <row r="1047" spans="1:86" s="243" customFormat="1" ht="12" customHeight="1" x14ac:dyDescent="0.15">
      <c r="A1047" s="522" t="s">
        <v>3328</v>
      </c>
      <c r="B1047" s="470">
        <v>2</v>
      </c>
      <c r="C1047" s="241"/>
      <c r="D1047" s="470"/>
      <c r="E1047" s="241"/>
      <c r="F1047" s="470"/>
      <c r="G1047" s="293" t="s">
        <v>2000</v>
      </c>
      <c r="H1047" s="293" t="s">
        <v>286</v>
      </c>
      <c r="I1047" s="294" t="s">
        <v>287</v>
      </c>
      <c r="J1047" s="295" t="s">
        <v>288</v>
      </c>
      <c r="K1047" s="293" t="s">
        <v>289</v>
      </c>
      <c r="L1047" s="304"/>
      <c r="M1047" s="277"/>
      <c r="N1047" s="514">
        <f>5600+COUNT(R6:R1038)</f>
        <v>6465</v>
      </c>
      <c r="O1047" s="237"/>
      <c r="P1047" s="278"/>
      <c r="Q1047" s="305"/>
      <c r="R1047" s="277"/>
      <c r="S1047" s="237"/>
      <c r="T1047" s="286"/>
      <c r="W1047" s="282"/>
      <c r="AY1047" s="283"/>
      <c r="AZ1047" s="242"/>
      <c r="CH1047" s="284" t="e">
        <f>IF(#REF!="","",#REF!-#REF!)</f>
        <v>#REF!</v>
      </c>
    </row>
    <row r="1048" spans="1:86" s="243" customFormat="1" ht="12" customHeight="1" x14ac:dyDescent="0.15">
      <c r="A1048" s="522" t="s">
        <v>3310</v>
      </c>
      <c r="B1048" s="468">
        <v>2</v>
      </c>
      <c r="C1048" s="470"/>
      <c r="D1048" s="470"/>
      <c r="E1048" s="241"/>
      <c r="F1048" s="4" t="s">
        <v>2003</v>
      </c>
      <c r="G1048" s="237">
        <v>112</v>
      </c>
      <c r="H1048" s="237">
        <v>11</v>
      </c>
      <c r="I1048" s="237">
        <v>16</v>
      </c>
      <c r="J1048" s="237">
        <v>11</v>
      </c>
      <c r="K1048" s="237">
        <v>13</v>
      </c>
      <c r="L1048" s="619" t="s">
        <v>4814</v>
      </c>
      <c r="M1048" s="277"/>
      <c r="N1048" s="514"/>
      <c r="O1048" s="237"/>
      <c r="P1048" s="278"/>
      <c r="Q1048" s="519" t="s">
        <v>5610</v>
      </c>
      <c r="R1048" s="277">
        <v>230000</v>
      </c>
      <c r="S1048" s="241"/>
      <c r="T1048" s="241" t="s">
        <v>5352</v>
      </c>
      <c r="W1048" s="282"/>
      <c r="AY1048" s="283"/>
      <c r="AZ1048" s="242"/>
      <c r="CH1048" s="284" t="e">
        <f>IF(#REF!="","",#REF!-#REF!)</f>
        <v>#REF!</v>
      </c>
    </row>
    <row r="1049" spans="1:86" s="243" customFormat="1" ht="12" customHeight="1" x14ac:dyDescent="0.15">
      <c r="A1049" s="522" t="s">
        <v>3776</v>
      </c>
      <c r="B1049" s="468">
        <v>2</v>
      </c>
      <c r="C1049" s="470"/>
      <c r="D1049" s="470" t="s">
        <v>1090</v>
      </c>
      <c r="E1049" s="241"/>
      <c r="F1049" s="301" t="s">
        <v>2001</v>
      </c>
      <c r="G1049" s="302">
        <f>H1048/G1048</f>
        <v>9.8214285714285712E-2</v>
      </c>
      <c r="H1049" s="237"/>
      <c r="I1049" s="288"/>
      <c r="J1049" s="275"/>
      <c r="K1049" s="237"/>
      <c r="L1049" s="304"/>
      <c r="M1049" s="277"/>
      <c r="N1049" s="513" t="s">
        <v>3611</v>
      </c>
      <c r="O1049" s="237"/>
      <c r="P1049" s="278"/>
      <c r="Q1049" s="305" t="s">
        <v>1839</v>
      </c>
      <c r="R1049" s="277">
        <f>IF(R1048-R1045&lt;1,"Met",R1048-R1045)</f>
        <v>17846</v>
      </c>
      <c r="S1049" s="237"/>
      <c r="T1049" s="286"/>
      <c r="W1049" s="282"/>
      <c r="AY1049" s="283"/>
      <c r="AZ1049" s="242"/>
      <c r="CH1049" s="284" t="e">
        <f>IF(#REF!="","",#REF!-#REF!)</f>
        <v>#REF!</v>
      </c>
    </row>
    <row r="1050" spans="1:86" s="243" customFormat="1" ht="12" customHeight="1" x14ac:dyDescent="0.15">
      <c r="A1050" s="242" t="s">
        <v>2355</v>
      </c>
      <c r="B1050" s="470">
        <v>2</v>
      </c>
      <c r="C1050" s="345" t="s">
        <v>3710</v>
      </c>
      <c r="D1050" s="470"/>
      <c r="E1050" s="241"/>
      <c r="F1050" s="301" t="s">
        <v>2002</v>
      </c>
      <c r="G1050" s="302">
        <f>(H1048+I1048+J1048)/G1048</f>
        <v>0.3392857142857143</v>
      </c>
      <c r="H1050" s="237"/>
      <c r="I1050" s="275"/>
      <c r="J1050" s="275"/>
      <c r="K1050" s="237"/>
      <c r="L1050" s="304"/>
      <c r="M1050" s="517">
        <f>N1050/N1047</f>
        <v>0.16318638824439288</v>
      </c>
      <c r="N1050" s="514">
        <f>937+SUM(AZ6:AZ1038)</f>
        <v>1055</v>
      </c>
      <c r="O1050" s="516"/>
      <c r="P1050" s="278"/>
      <c r="Q1050" s="290"/>
      <c r="R1050" s="277"/>
      <c r="S1050" s="237"/>
      <c r="T1050" s="286"/>
      <c r="W1050" s="282"/>
      <c r="AY1050" s="283"/>
      <c r="AZ1050" s="242"/>
      <c r="CH1050" s="284" t="e">
        <f>IF(#REF!="","",#REF!-#REF!)</f>
        <v>#REF!</v>
      </c>
    </row>
    <row r="1051" spans="1:86" s="243" customFormat="1" ht="12" customHeight="1" x14ac:dyDescent="0.15">
      <c r="A1051" s="522" t="s">
        <v>3944</v>
      </c>
      <c r="B1051" s="526">
        <v>2</v>
      </c>
      <c r="C1051" s="470" t="s">
        <v>3154</v>
      </c>
      <c r="D1051" s="277">
        <v>119900</v>
      </c>
      <c r="E1051" s="241"/>
      <c r="F1051" s="470"/>
      <c r="G1051" s="33"/>
      <c r="H1051" s="308"/>
      <c r="I1051" s="309"/>
      <c r="J1051" s="309"/>
      <c r="K1051" s="33"/>
      <c r="L1051" s="304"/>
      <c r="M1051" s="277"/>
      <c r="N1051" s="514"/>
      <c r="O1051" s="237"/>
      <c r="P1051" s="278"/>
      <c r="Q1051" s="290"/>
      <c r="R1051" s="289" t="s">
        <v>5285</v>
      </c>
      <c r="S1051" s="237"/>
      <c r="T1051" s="286"/>
      <c r="W1051" s="282"/>
      <c r="AY1051" s="283"/>
      <c r="AZ1051" s="242"/>
      <c r="CH1051" s="284" t="e">
        <f>IF(#REF!="","",#REF!-#REF!)</f>
        <v>#REF!</v>
      </c>
    </row>
    <row r="1052" spans="1:86" s="243" customFormat="1" ht="12" customHeight="1" x14ac:dyDescent="0.15">
      <c r="A1052" s="522" t="s">
        <v>3903</v>
      </c>
      <c r="B1052" s="526">
        <v>2</v>
      </c>
      <c r="C1052" s="470" t="s">
        <v>2155</v>
      </c>
      <c r="D1052" s="277">
        <f>23712+3600+900+1800+45000+33345</f>
        <v>108357</v>
      </c>
      <c r="E1052" s="241"/>
      <c r="F1052" s="470"/>
      <c r="G1052" s="293" t="s">
        <v>2000</v>
      </c>
      <c r="H1052" s="293" t="s">
        <v>286</v>
      </c>
      <c r="I1052" s="294" t="s">
        <v>287</v>
      </c>
      <c r="J1052" s="295" t="s">
        <v>288</v>
      </c>
      <c r="K1052" s="293" t="s">
        <v>289</v>
      </c>
      <c r="L1052" s="304"/>
      <c r="M1052" s="277"/>
      <c r="N1052" s="513" t="s">
        <v>3612</v>
      </c>
      <c r="O1052" s="237"/>
      <c r="P1052" s="278"/>
      <c r="Q1052" s="290"/>
      <c r="R1052" s="277">
        <f ca="1">($R$1039/(TODAY()-DATE(2016,1,1)))*366</f>
        <v>3412128.2528735632</v>
      </c>
      <c r="S1052" s="237"/>
      <c r="U1052" s="286"/>
      <c r="W1052" s="282"/>
      <c r="AY1052" s="283"/>
      <c r="AZ1052" s="242"/>
      <c r="CH1052" s="284" t="e">
        <f>IF(#REF!="","",#REF!-#REF!)</f>
        <v>#REF!</v>
      </c>
    </row>
    <row r="1053" spans="1:86" s="243" customFormat="1" ht="12" customHeight="1" x14ac:dyDescent="0.15">
      <c r="A1053" s="487" t="s">
        <v>3263</v>
      </c>
      <c r="B1053" s="526">
        <v>2</v>
      </c>
      <c r="C1053" s="470" t="s">
        <v>4192</v>
      </c>
      <c r="D1053" s="277">
        <f>42171+28458+28361</f>
        <v>98990</v>
      </c>
      <c r="E1053" s="241"/>
      <c r="F1053" s="4" t="s">
        <v>2004</v>
      </c>
      <c r="G1053" s="237">
        <v>46</v>
      </c>
      <c r="H1053" s="237">
        <v>7</v>
      </c>
      <c r="I1053" s="237">
        <v>6</v>
      </c>
      <c r="J1053" s="237">
        <v>6</v>
      </c>
      <c r="K1053" s="237">
        <v>3</v>
      </c>
      <c r="L1053" s="304"/>
      <c r="M1053" s="277"/>
      <c r="N1053" s="515">
        <f>31705579+R1039</f>
        <v>34138818</v>
      </c>
      <c r="O1053" s="237"/>
      <c r="P1053" s="278"/>
      <c r="Q1053" s="290"/>
      <c r="R1053" s="277"/>
      <c r="S1053" s="237"/>
      <c r="T1053" s="286"/>
      <c r="W1053" s="242"/>
      <c r="AY1053" s="283"/>
      <c r="AZ1053" s="242"/>
      <c r="CH1053" s="284" t="e">
        <f>IF(#REF!="","",#REF!-#REF!)</f>
        <v>#REF!</v>
      </c>
    </row>
    <row r="1054" spans="1:86" s="243" customFormat="1" ht="12" customHeight="1" x14ac:dyDescent="0.15">
      <c r="A1054" s="522" t="s">
        <v>4003</v>
      </c>
      <c r="B1054" s="526">
        <v>2</v>
      </c>
      <c r="C1054" s="470" t="s">
        <v>1816</v>
      </c>
      <c r="D1054" s="277">
        <v>83000</v>
      </c>
      <c r="E1054" s="241"/>
      <c r="F1054" s="301" t="s">
        <v>2001</v>
      </c>
      <c r="G1054" s="302">
        <f>H1053/G1053</f>
        <v>0.15217391304347827</v>
      </c>
      <c r="H1054" s="237"/>
      <c r="I1054" s="288"/>
      <c r="J1054" s="275"/>
      <c r="K1054" s="237"/>
      <c r="L1054" s="304"/>
      <c r="M1054" s="277"/>
      <c r="N1054" s="285"/>
      <c r="O1054" s="237"/>
      <c r="P1054" s="278"/>
      <c r="Q1054" s="290"/>
      <c r="R1054" s="277"/>
      <c r="S1054" s="237"/>
      <c r="T1054" s="286"/>
      <c r="W1054" s="282"/>
      <c r="AY1054" s="283"/>
      <c r="AZ1054" s="242"/>
      <c r="CH1054" s="284" t="e">
        <f>IF(#REF!="","",#REF!-#REF!)</f>
        <v>#REF!</v>
      </c>
    </row>
    <row r="1055" spans="1:86" s="243" customFormat="1" ht="12" customHeight="1" x14ac:dyDescent="0.15">
      <c r="A1055" s="487" t="s">
        <v>5262</v>
      </c>
      <c r="B1055" s="526">
        <v>2</v>
      </c>
      <c r="C1055" s="470" t="s">
        <v>2227</v>
      </c>
      <c r="D1055" s="277">
        <f>14462+22200+200+1998+42840+200+200</f>
        <v>82100</v>
      </c>
      <c r="E1055" s="241"/>
      <c r="F1055" s="301" t="s">
        <v>2002</v>
      </c>
      <c r="G1055" s="302">
        <f>(H1053+I1053+J1053)/G1053</f>
        <v>0.41304347826086957</v>
      </c>
      <c r="H1055" s="237"/>
      <c r="I1055" s="275"/>
      <c r="J1055" s="275"/>
      <c r="K1055" s="237"/>
      <c r="L1055" s="304"/>
      <c r="M1055" s="277"/>
      <c r="N1055" s="4" t="s">
        <v>2100</v>
      </c>
      <c r="O1055" s="237"/>
      <c r="P1055" s="278"/>
      <c r="Q1055" s="290"/>
      <c r="R1055" s="277"/>
      <c r="S1055" s="237"/>
      <c r="T1055" s="286"/>
      <c r="W1055" s="282"/>
      <c r="AY1055" s="283"/>
      <c r="AZ1055" s="242"/>
      <c r="CH1055" s="284" t="e">
        <f>IF(#REF!="","",#REF!-#REF!)</f>
        <v>#REF!</v>
      </c>
    </row>
    <row r="1056" spans="1:86" s="243" customFormat="1" ht="12" customHeight="1" x14ac:dyDescent="0.15">
      <c r="A1056" s="487" t="s">
        <v>1557</v>
      </c>
      <c r="B1056" s="526">
        <v>2</v>
      </c>
      <c r="C1056" s="457" t="s">
        <v>2151</v>
      </c>
      <c r="D1056" s="277">
        <f>49539+200+1260+19980</f>
        <v>70979</v>
      </c>
      <c r="E1056" s="241"/>
      <c r="F1056" s="470"/>
      <c r="G1056" s="33"/>
      <c r="H1056" s="308"/>
      <c r="I1056" s="309"/>
      <c r="J1056" s="309"/>
      <c r="K1056" s="33"/>
      <c r="L1056" s="304"/>
      <c r="M1056" s="277"/>
      <c r="N1056" s="315" t="s">
        <v>5435</v>
      </c>
      <c r="O1056" s="237"/>
      <c r="P1056" s="278"/>
      <c r="Q1056" s="290"/>
      <c r="R1056" s="277"/>
      <c r="S1056" s="237"/>
      <c r="T1056" s="286"/>
      <c r="W1056" s="282"/>
      <c r="AY1056" s="283"/>
      <c r="AZ1056" s="242"/>
      <c r="CH1056" s="284"/>
    </row>
    <row r="1057" spans="1:90" s="243" customFormat="1" ht="12" customHeight="1" x14ac:dyDescent="0.15">
      <c r="A1057" s="487" t="s">
        <v>36</v>
      </c>
      <c r="B1057" s="526">
        <v>2</v>
      </c>
      <c r="C1057" s="470" t="s">
        <v>2170</v>
      </c>
      <c r="D1057" s="277">
        <f>12960+21400+25650+0+1800+0</f>
        <v>61810</v>
      </c>
      <c r="E1057" s="534"/>
      <c r="F1057" s="470"/>
      <c r="G1057" s="293" t="s">
        <v>2000</v>
      </c>
      <c r="H1057" s="293" t="s">
        <v>286</v>
      </c>
      <c r="I1057" s="294" t="s">
        <v>287</v>
      </c>
      <c r="J1057" s="295" t="s">
        <v>288</v>
      </c>
      <c r="K1057" s="293" t="s">
        <v>289</v>
      </c>
      <c r="L1057" s="310"/>
      <c r="M1057" s="277"/>
      <c r="N1057" s="315" t="s">
        <v>5436</v>
      </c>
      <c r="O1057" s="237"/>
      <c r="P1057" s="278"/>
      <c r="Q1057" s="290"/>
      <c r="R1057" s="277"/>
      <c r="S1057" s="237"/>
      <c r="T1057" s="286"/>
      <c r="W1057" s="282"/>
      <c r="AY1057" s="283"/>
      <c r="AZ1057" s="242"/>
      <c r="CH1057" s="284" t="e">
        <f>IF(#REF!="","",#REF!-#REF!)</f>
        <v>#REF!</v>
      </c>
    </row>
    <row r="1058" spans="1:90" s="243" customFormat="1" ht="12" customHeight="1" x14ac:dyDescent="0.15">
      <c r="A1058" s="487" t="s">
        <v>2364</v>
      </c>
      <c r="B1058" s="526">
        <v>2</v>
      </c>
      <c r="C1058" s="470" t="s">
        <v>2401</v>
      </c>
      <c r="D1058" s="277">
        <f>42600+15120+500</f>
        <v>58220</v>
      </c>
      <c r="E1058" s="241"/>
      <c r="F1058" s="4" t="s">
        <v>2027</v>
      </c>
      <c r="G1058" s="237">
        <v>3</v>
      </c>
      <c r="H1058" s="237">
        <v>1</v>
      </c>
      <c r="I1058" s="237">
        <v>1</v>
      </c>
      <c r="J1058" s="237">
        <v>0</v>
      </c>
      <c r="K1058" s="237">
        <v>0</v>
      </c>
      <c r="L1058" s="276"/>
      <c r="M1058" s="277"/>
      <c r="N1058" s="315" t="s">
        <v>5437</v>
      </c>
      <c r="O1058" s="237"/>
      <c r="P1058" s="278"/>
      <c r="Q1058" s="290"/>
      <c r="R1058" s="277"/>
      <c r="S1058" s="237"/>
      <c r="T1058" s="286"/>
      <c r="W1058" s="282"/>
      <c r="AY1058" s="283"/>
      <c r="AZ1058" s="242"/>
      <c r="CH1058" s="284" t="e">
        <f>IF(#REF!="","",#REF!-#REF!)</f>
        <v>#REF!</v>
      </c>
    </row>
    <row r="1059" spans="1:90" s="243" customFormat="1" ht="12" customHeight="1" x14ac:dyDescent="0.15">
      <c r="A1059" s="487" t="s">
        <v>994</v>
      </c>
      <c r="B1059" s="526">
        <v>2</v>
      </c>
      <c r="C1059" s="470" t="s">
        <v>3178</v>
      </c>
      <c r="D1059" s="277">
        <f>54870+1530+500+500+200</f>
        <v>57600</v>
      </c>
      <c r="E1059" s="241"/>
      <c r="F1059" s="301" t="s">
        <v>2001</v>
      </c>
      <c r="G1059" s="302">
        <f>H1058/G1058</f>
        <v>0.33333333333333331</v>
      </c>
      <c r="H1059" s="237"/>
      <c r="I1059" s="288"/>
      <c r="J1059" s="275"/>
      <c r="K1059" s="237"/>
      <c r="L1059" s="276"/>
      <c r="M1059" s="277"/>
      <c r="N1059" s="315" t="s">
        <v>5438</v>
      </c>
      <c r="O1059" s="237"/>
      <c r="P1059" s="278"/>
      <c r="Q1059" s="290"/>
      <c r="R1059" s="277"/>
      <c r="S1059" s="237"/>
      <c r="T1059" s="286"/>
      <c r="W1059" s="282"/>
      <c r="AY1059" s="283"/>
      <c r="AZ1059" s="242"/>
      <c r="CH1059" s="284" t="e">
        <f>IF(#REF!="","",#REF!-B1061)</f>
        <v>#REF!</v>
      </c>
    </row>
    <row r="1060" spans="1:90" s="243" customFormat="1" ht="12" customHeight="1" x14ac:dyDescent="0.15">
      <c r="A1060" s="522" t="s">
        <v>4518</v>
      </c>
      <c r="B1060" s="526">
        <v>2</v>
      </c>
      <c r="C1060" s="470" t="s">
        <v>1666</v>
      </c>
      <c r="D1060" s="277">
        <f>10000+16080+10000+20000</f>
        <v>56080</v>
      </c>
      <c r="E1060" s="241"/>
      <c r="F1060" s="301" t="s">
        <v>2002</v>
      </c>
      <c r="G1060" s="302">
        <f>(H1058+I1058+J1058)/G1058</f>
        <v>0.66666666666666663</v>
      </c>
      <c r="H1060" s="237"/>
      <c r="I1060" s="275"/>
      <c r="J1060" s="275"/>
      <c r="K1060" s="237"/>
      <c r="L1060" s="276"/>
      <c r="M1060" s="277"/>
      <c r="N1060" s="315" t="s">
        <v>5439</v>
      </c>
      <c r="O1060" s="237"/>
      <c r="P1060" s="278"/>
      <c r="Q1060" s="290"/>
      <c r="R1060" s="277"/>
      <c r="S1060" s="237"/>
      <c r="T1060" s="286"/>
      <c r="W1060" s="282"/>
      <c r="AY1060" s="283"/>
      <c r="AZ1060" s="242"/>
      <c r="CH1060" s="284" t="e">
        <f>IF(#REF!="","",#REF!-#REF!)</f>
        <v>#REF!</v>
      </c>
    </row>
    <row r="1061" spans="1:90" s="243" customFormat="1" ht="12" customHeight="1" x14ac:dyDescent="0.15">
      <c r="A1061" s="487" t="s">
        <v>2178</v>
      </c>
      <c r="B1061" s="526">
        <v>2</v>
      </c>
      <c r="C1061" s="470" t="s">
        <v>3266</v>
      </c>
      <c r="D1061" s="277">
        <f>41700+500+11000</f>
        <v>53200</v>
      </c>
      <c r="E1061" s="241"/>
      <c r="F1061" s="470"/>
      <c r="G1061" s="33"/>
      <c r="H1061" s="308"/>
      <c r="I1061" s="309"/>
      <c r="J1061" s="309"/>
      <c r="K1061" s="33"/>
      <c r="L1061" s="276"/>
      <c r="M1061" s="315"/>
      <c r="N1061" s="315" t="s">
        <v>5440</v>
      </c>
      <c r="P1061" s="535"/>
      <c r="Q1061" s="315"/>
      <c r="R1061" s="315"/>
      <c r="S1061" s="315"/>
      <c r="U1061" s="315"/>
      <c r="W1061" s="282"/>
      <c r="AY1061" s="283"/>
      <c r="AZ1061" s="242"/>
      <c r="CH1061" s="284" t="e">
        <f>IF(B1061="","",B1061-#REF!)</f>
        <v>#REF!</v>
      </c>
    </row>
    <row r="1062" spans="1:90" s="315" customFormat="1" ht="12" customHeight="1" x14ac:dyDescent="0.15">
      <c r="A1062" s="522" t="s">
        <v>4829</v>
      </c>
      <c r="B1062" s="526">
        <v>2</v>
      </c>
      <c r="C1062" s="470" t="s">
        <v>1943</v>
      </c>
      <c r="D1062" s="277">
        <f>23400+12000+1800+11400+1170+1980</f>
        <v>51750</v>
      </c>
      <c r="E1062" s="28"/>
      <c r="F1062" s="470"/>
      <c r="G1062" s="33"/>
      <c r="H1062" s="308"/>
      <c r="I1062" s="309"/>
      <c r="J1062" s="309"/>
      <c r="K1062" s="285"/>
      <c r="L1062" s="304"/>
      <c r="N1062" s="315" t="s">
        <v>5434</v>
      </c>
      <c r="T1062" s="243"/>
      <c r="AY1062" s="316"/>
      <c r="AZ1062" s="317"/>
      <c r="CH1062" s="318"/>
    </row>
    <row r="1063" spans="1:90" s="243" customFormat="1" ht="12" customHeight="1" x14ac:dyDescent="0.15">
      <c r="A1063" s="487" t="s">
        <v>2166</v>
      </c>
      <c r="B1063" s="526">
        <v>2</v>
      </c>
      <c r="C1063" s="470" t="s">
        <v>2355</v>
      </c>
      <c r="D1063" s="277">
        <f>40390+912+1850+8000</f>
        <v>51152</v>
      </c>
      <c r="E1063" s="241"/>
      <c r="F1063" s="4" t="s">
        <v>4390</v>
      </c>
      <c r="G1063" s="293"/>
      <c r="H1063" s="311"/>
      <c r="I1063" s="295"/>
      <c r="J1063" s="295"/>
      <c r="K1063" s="237"/>
      <c r="L1063" s="276"/>
      <c r="M1063" s="315"/>
      <c r="N1063" s="315" t="s">
        <v>5441</v>
      </c>
      <c r="R1063" s="636"/>
      <c r="S1063" s="315"/>
      <c r="U1063" s="315"/>
      <c r="W1063" s="282"/>
      <c r="X1063" s="315"/>
      <c r="AY1063" s="283"/>
      <c r="AZ1063" s="242"/>
      <c r="CH1063" s="284" t="e">
        <f>IF(B1063="","",B1063-#REF!)</f>
        <v>#REF!</v>
      </c>
    </row>
    <row r="1064" spans="1:90" s="243" customFormat="1" ht="12" customHeight="1" x14ac:dyDescent="0.15">
      <c r="A1064" s="522" t="s">
        <v>3369</v>
      </c>
      <c r="B1064" s="470">
        <v>2</v>
      </c>
      <c r="C1064" s="470" t="s">
        <v>122</v>
      </c>
      <c r="D1064" s="277">
        <f>3460+19800+19200+0+5440+816+1500</f>
        <v>50216</v>
      </c>
      <c r="E1064" s="241"/>
      <c r="F1064" s="319" t="s">
        <v>550</v>
      </c>
      <c r="G1064" s="320" t="s">
        <v>393</v>
      </c>
      <c r="H1064" s="321" t="s">
        <v>392</v>
      </c>
      <c r="I1064" s="322" t="s">
        <v>1962</v>
      </c>
      <c r="J1064" s="275"/>
      <c r="K1064" s="33"/>
      <c r="L1064" s="276"/>
      <c r="M1064" s="315"/>
      <c r="N1064" s="315" t="s">
        <v>5442</v>
      </c>
      <c r="R1064" s="315"/>
      <c r="S1064" s="315"/>
      <c r="U1064" s="315"/>
      <c r="W1064" s="282"/>
      <c r="X1064" s="315"/>
      <c r="AY1064" s="283"/>
      <c r="AZ1064" s="242"/>
      <c r="CH1064" s="284" t="e">
        <f>IF(B1064="","",B1064-#REF!)</f>
        <v>#REF!</v>
      </c>
    </row>
    <row r="1065" spans="1:90" s="315" customFormat="1" ht="12" customHeight="1" x14ac:dyDescent="0.15">
      <c r="A1065" s="487" t="s">
        <v>2155</v>
      </c>
      <c r="B1065" s="526">
        <v>2</v>
      </c>
      <c r="C1065" s="470" t="s">
        <v>2166</v>
      </c>
      <c r="D1065" s="277">
        <f>13985+7080+200+7080+21240</f>
        <v>49585</v>
      </c>
      <c r="E1065" s="28"/>
      <c r="F1065" s="470" t="s">
        <v>2429</v>
      </c>
      <c r="G1065" s="237"/>
      <c r="H1065" s="323"/>
      <c r="I1065" s="288" t="str">
        <f>IF(G1065="","",G1065/H1065)</f>
        <v/>
      </c>
      <c r="J1065" s="309"/>
      <c r="K1065" s="237"/>
      <c r="L1065" s="304"/>
      <c r="N1065" s="315" t="s">
        <v>5443</v>
      </c>
      <c r="T1065" s="243"/>
      <c r="W1065" s="31"/>
      <c r="AY1065" s="316"/>
      <c r="AZ1065" s="317"/>
      <c r="CH1065" s="318"/>
    </row>
    <row r="1066" spans="1:90" s="243" customFormat="1" ht="12" customHeight="1" x14ac:dyDescent="0.15">
      <c r="A1066" s="487"/>
      <c r="B1066" s="526"/>
      <c r="C1066" s="228" t="s">
        <v>3310</v>
      </c>
      <c r="D1066" s="277">
        <f>15941+22945+8615+1047+65</f>
        <v>48613</v>
      </c>
      <c r="E1066" s="241"/>
      <c r="F1066" s="470" t="s">
        <v>525</v>
      </c>
      <c r="G1066" s="237">
        <v>2</v>
      </c>
      <c r="H1066" s="323">
        <v>10</v>
      </c>
      <c r="I1066" s="288">
        <f t="shared" ref="I1066:I1074" si="68">IF(G1066="","",G1066/H1066)</f>
        <v>0.2</v>
      </c>
      <c r="J1066" s="275"/>
      <c r="K1066" s="237"/>
      <c r="L1066" s="276"/>
      <c r="M1066" s="315"/>
      <c r="N1066" s="242"/>
      <c r="O1066" s="315"/>
      <c r="P1066" s="315"/>
      <c r="Q1066" s="315"/>
      <c r="R1066" s="315"/>
      <c r="S1066" s="315"/>
      <c r="U1066" s="315"/>
      <c r="W1066" s="282"/>
      <c r="AY1066" s="283"/>
      <c r="AZ1066" s="242"/>
      <c r="CH1066" s="284" t="e">
        <f>IF(#REF!="","",#REF!-#REF!)</f>
        <v>#REF!</v>
      </c>
    </row>
    <row r="1067" spans="1:90" s="243" customFormat="1" ht="12" customHeight="1" x14ac:dyDescent="0.15">
      <c r="A1067" s="487"/>
      <c r="B1067" s="526"/>
      <c r="C1067" s="470" t="s">
        <v>1529</v>
      </c>
      <c r="D1067" s="277">
        <f>9400+28200+5500</f>
        <v>43100</v>
      </c>
      <c r="E1067" s="241"/>
      <c r="F1067" s="470" t="s">
        <v>1162</v>
      </c>
      <c r="G1067" s="237">
        <v>1</v>
      </c>
      <c r="H1067" s="323">
        <v>11</v>
      </c>
      <c r="I1067" s="288">
        <f t="shared" si="68"/>
        <v>9.0909090909090912E-2</v>
      </c>
      <c r="J1067" s="275"/>
      <c r="K1067" s="237"/>
      <c r="L1067" s="276"/>
      <c r="M1067" s="315"/>
      <c r="N1067" s="242"/>
      <c r="O1067" s="315"/>
      <c r="P1067" s="315"/>
      <c r="Q1067" s="315"/>
      <c r="R1067" s="315"/>
      <c r="S1067" s="315"/>
      <c r="U1067" s="315"/>
      <c r="W1067" s="282"/>
      <c r="AY1067" s="283"/>
      <c r="AZ1067" s="242"/>
      <c r="CH1067" s="284">
        <f>IF(B1051="","",B1051-B1063)</f>
        <v>0</v>
      </c>
    </row>
    <row r="1068" spans="1:90" s="243" customFormat="1" ht="12" customHeight="1" x14ac:dyDescent="0.15">
      <c r="A1068" s="487"/>
      <c r="B1068" s="526"/>
      <c r="C1068" s="470" t="s">
        <v>3263</v>
      </c>
      <c r="D1068" s="277">
        <f>39520+810+810</f>
        <v>41140</v>
      </c>
      <c r="E1068" s="28"/>
      <c r="F1068" s="470" t="s">
        <v>2334</v>
      </c>
      <c r="G1068" s="237">
        <v>1</v>
      </c>
      <c r="H1068" s="323">
        <v>7</v>
      </c>
      <c r="I1068" s="288">
        <f t="shared" si="68"/>
        <v>0.14285714285714285</v>
      </c>
      <c r="J1068" s="275"/>
      <c r="K1068" s="237"/>
      <c r="L1068" s="304"/>
      <c r="M1068" s="315"/>
      <c r="N1068" s="242"/>
      <c r="R1068" s="315"/>
      <c r="S1068" s="315"/>
      <c r="V1068" s="315"/>
      <c r="W1068" s="31"/>
      <c r="X1068" s="315"/>
      <c r="Y1068" s="315"/>
      <c r="Z1068" s="315"/>
      <c r="AA1068" s="315"/>
      <c r="AB1068" s="315"/>
      <c r="AC1068" s="315"/>
      <c r="AD1068" s="315"/>
      <c r="AE1068" s="315"/>
      <c r="AF1068" s="315"/>
      <c r="AG1068" s="315"/>
      <c r="AH1068" s="315"/>
      <c r="AI1068" s="315"/>
      <c r="AJ1068" s="315"/>
      <c r="AK1068" s="315"/>
      <c r="AL1068" s="315"/>
      <c r="AM1068" s="315"/>
      <c r="AN1068" s="315"/>
      <c r="AO1068" s="315"/>
      <c r="AP1068" s="315"/>
      <c r="AQ1068" s="315"/>
      <c r="AR1068" s="315"/>
      <c r="AS1068" s="315"/>
      <c r="AT1068" s="315"/>
      <c r="AU1068" s="315"/>
      <c r="AV1068" s="315"/>
      <c r="AW1068" s="315"/>
      <c r="AX1068" s="315"/>
      <c r="AY1068" s="316"/>
      <c r="AZ1068" s="317"/>
      <c r="BA1068" s="315"/>
      <c r="BB1068" s="315"/>
      <c r="BC1068" s="315"/>
      <c r="BD1068" s="315"/>
      <c r="BE1068" s="315"/>
      <c r="BF1068" s="315"/>
      <c r="BG1068" s="315"/>
      <c r="BH1068" s="315"/>
      <c r="BI1068" s="315"/>
      <c r="BJ1068" s="315"/>
      <c r="BK1068" s="315"/>
      <c r="BL1068" s="315"/>
      <c r="BM1068" s="315"/>
      <c r="BN1068" s="315"/>
      <c r="BO1068" s="315"/>
      <c r="BP1068" s="315"/>
      <c r="BQ1068" s="315"/>
      <c r="BR1068" s="315"/>
      <c r="BS1068" s="315"/>
      <c r="BT1068" s="315"/>
      <c r="BU1068" s="315"/>
      <c r="BV1068" s="315"/>
      <c r="BW1068" s="315"/>
      <c r="BX1068" s="315"/>
      <c r="BY1068" s="315"/>
      <c r="BZ1068" s="315"/>
      <c r="CA1068" s="315"/>
      <c r="CB1068" s="315"/>
      <c r="CC1068" s="315"/>
      <c r="CD1068" s="315"/>
      <c r="CE1068" s="315"/>
      <c r="CF1068" s="315"/>
      <c r="CG1068" s="315"/>
      <c r="CH1068" s="318"/>
      <c r="CI1068" s="315"/>
      <c r="CJ1068" s="315"/>
      <c r="CK1068" s="315"/>
      <c r="CL1068" s="315"/>
    </row>
    <row r="1069" spans="1:90" s="243" customFormat="1" ht="12" customHeight="1" x14ac:dyDescent="0.15">
      <c r="A1069" s="487"/>
      <c r="B1069" s="526"/>
      <c r="C1069" s="470" t="s">
        <v>2278</v>
      </c>
      <c r="D1069" s="277">
        <f>37604+1500</f>
        <v>39104</v>
      </c>
      <c r="E1069" s="28"/>
      <c r="F1069" s="470" t="s">
        <v>433</v>
      </c>
      <c r="G1069" s="237">
        <v>0</v>
      </c>
      <c r="H1069" s="323">
        <v>4</v>
      </c>
      <c r="I1069" s="288">
        <f t="shared" si="68"/>
        <v>0</v>
      </c>
      <c r="J1069" s="275"/>
      <c r="K1069" s="237"/>
      <c r="L1069" s="304"/>
      <c r="M1069" s="315"/>
      <c r="N1069" s="242"/>
      <c r="O1069" s="315"/>
      <c r="P1069" s="315"/>
      <c r="Q1069" s="315"/>
      <c r="R1069" s="315"/>
      <c r="S1069" s="315"/>
      <c r="V1069" s="315"/>
      <c r="W1069" s="31"/>
      <c r="X1069" s="315"/>
      <c r="Y1069" s="315"/>
      <c r="Z1069" s="315"/>
      <c r="AA1069" s="315"/>
      <c r="AB1069" s="315"/>
      <c r="AC1069" s="315"/>
      <c r="AD1069" s="315"/>
      <c r="AE1069" s="315"/>
      <c r="AF1069" s="315"/>
      <c r="AG1069" s="315"/>
      <c r="AH1069" s="315"/>
      <c r="AI1069" s="315"/>
      <c r="AJ1069" s="315"/>
      <c r="AK1069" s="315"/>
      <c r="AL1069" s="315"/>
      <c r="AM1069" s="315"/>
      <c r="AN1069" s="315"/>
      <c r="AO1069" s="315"/>
      <c r="AP1069" s="315"/>
      <c r="AQ1069" s="315"/>
      <c r="AR1069" s="315"/>
      <c r="AS1069" s="315"/>
      <c r="AT1069" s="315"/>
      <c r="AU1069" s="315"/>
      <c r="AV1069" s="315"/>
      <c r="AW1069" s="315"/>
      <c r="AX1069" s="315"/>
      <c r="AY1069" s="316"/>
      <c r="AZ1069" s="317"/>
      <c r="BA1069" s="315"/>
      <c r="BB1069" s="315"/>
      <c r="BC1069" s="315"/>
      <c r="BD1069" s="315"/>
      <c r="BE1069" s="315"/>
      <c r="BF1069" s="315"/>
      <c r="BG1069" s="315"/>
      <c r="BH1069" s="315"/>
      <c r="BI1069" s="315"/>
      <c r="BJ1069" s="315"/>
      <c r="BK1069" s="315"/>
      <c r="BL1069" s="315"/>
      <c r="BM1069" s="315"/>
      <c r="BN1069" s="315"/>
      <c r="BO1069" s="315"/>
      <c r="BP1069" s="315"/>
      <c r="BQ1069" s="315"/>
      <c r="BR1069" s="315"/>
      <c r="BS1069" s="315"/>
      <c r="BT1069" s="315"/>
      <c r="BU1069" s="315"/>
      <c r="BV1069" s="315"/>
      <c r="BW1069" s="315"/>
      <c r="BX1069" s="315"/>
      <c r="BY1069" s="315"/>
      <c r="BZ1069" s="315"/>
      <c r="CA1069" s="315"/>
      <c r="CB1069" s="315"/>
      <c r="CC1069" s="315"/>
      <c r="CD1069" s="315"/>
      <c r="CE1069" s="315"/>
      <c r="CF1069" s="315"/>
      <c r="CG1069" s="315"/>
      <c r="CH1069" s="318"/>
      <c r="CI1069" s="315"/>
      <c r="CJ1069" s="315"/>
      <c r="CK1069" s="315"/>
      <c r="CL1069" s="315"/>
    </row>
    <row r="1070" spans="1:90" s="243" customFormat="1" ht="12" customHeight="1" x14ac:dyDescent="0.15">
      <c r="A1070" s="487"/>
      <c r="B1070" s="526"/>
      <c r="C1070" s="470" t="s">
        <v>1295</v>
      </c>
      <c r="D1070" s="277">
        <f>4230+4500+1500+24000+3100</f>
        <v>37330</v>
      </c>
      <c r="E1070" s="241"/>
      <c r="F1070" s="470" t="s">
        <v>2332</v>
      </c>
      <c r="G1070" s="237">
        <v>1</v>
      </c>
      <c r="H1070" s="323">
        <v>4</v>
      </c>
      <c r="I1070" s="288">
        <f t="shared" si="68"/>
        <v>0.25</v>
      </c>
      <c r="J1070" s="275"/>
      <c r="K1070" s="237"/>
      <c r="L1070" s="276"/>
      <c r="M1070" s="315"/>
      <c r="N1070" s="242"/>
      <c r="O1070" s="315"/>
      <c r="P1070" s="315"/>
      <c r="Q1070" s="315"/>
      <c r="R1070" s="315"/>
      <c r="S1070" s="315"/>
      <c r="W1070" s="282"/>
      <c r="AY1070" s="283"/>
      <c r="AZ1070" s="242"/>
      <c r="CH1070" s="284">
        <f>IF(B1054="","",B1054-B1060)</f>
        <v>0</v>
      </c>
    </row>
    <row r="1071" spans="1:90" ht="12" customHeight="1" x14ac:dyDescent="0.15">
      <c r="A1071" s="487"/>
      <c r="B1071" s="526"/>
      <c r="C1071" s="470" t="s">
        <v>21</v>
      </c>
      <c r="D1071" s="277">
        <f>7600+3800+8400+8600+0+1440+2640+4800</f>
        <v>37280</v>
      </c>
      <c r="E1071" s="7"/>
      <c r="F1071" s="470" t="s">
        <v>1799</v>
      </c>
      <c r="G1071" s="237">
        <v>0</v>
      </c>
      <c r="H1071" s="323">
        <v>1</v>
      </c>
      <c r="I1071" s="288">
        <f t="shared" si="68"/>
        <v>0</v>
      </c>
      <c r="J1071" s="275"/>
      <c r="K1071" s="9"/>
      <c r="L1071" s="10"/>
      <c r="M1071" s="315"/>
      <c r="N1071" s="242"/>
      <c r="O1071" s="315"/>
      <c r="P1071" s="315"/>
      <c r="Q1071" s="315"/>
      <c r="R1071" s="315"/>
      <c r="S1071" s="315"/>
      <c r="T1071" s="243"/>
      <c r="U1071" s="243"/>
      <c r="V1071" s="243"/>
      <c r="W1071" s="14"/>
      <c r="X1071" s="13"/>
      <c r="Y1071" s="13"/>
      <c r="Z1071" s="13"/>
      <c r="AA1071" s="13"/>
      <c r="AB1071" s="13"/>
      <c r="AC1071" s="13"/>
      <c r="AD1071" s="13"/>
      <c r="AE1071" s="13"/>
      <c r="AF1071" s="13"/>
      <c r="AG1071" s="13"/>
      <c r="AH1071" s="13"/>
      <c r="AI1071" s="13"/>
      <c r="AJ1071" s="13"/>
      <c r="AK1071" s="13"/>
      <c r="AL1071" s="13"/>
      <c r="AM1071" s="13"/>
      <c r="AN1071" s="13"/>
      <c r="AO1071" s="13"/>
      <c r="AP1071" s="13"/>
      <c r="AQ1071" s="13"/>
      <c r="AR1071" s="13"/>
      <c r="AS1071" s="13"/>
      <c r="AT1071" s="13"/>
      <c r="AU1071" s="13"/>
      <c r="AV1071" s="13"/>
      <c r="AW1071" s="13"/>
      <c r="AX1071" s="13"/>
      <c r="AY1071" s="15"/>
      <c r="AZ1071" s="6"/>
      <c r="BA1071" s="13"/>
      <c r="BB1071" s="13"/>
      <c r="BC1071" s="13"/>
      <c r="BD1071" s="13"/>
      <c r="BE1071" s="13"/>
      <c r="BF1071" s="13"/>
      <c r="BG1071" s="13"/>
      <c r="BH1071" s="13"/>
      <c r="BI1071" s="13"/>
      <c r="BJ1071" s="13"/>
      <c r="BK1071" s="13"/>
      <c r="BL1071" s="13"/>
      <c r="BM1071" s="13"/>
      <c r="BN1071" s="13"/>
      <c r="BO1071" s="13"/>
      <c r="BP1071" s="13"/>
      <c r="BQ1071" s="13"/>
      <c r="BR1071" s="13"/>
      <c r="BS1071" s="13"/>
      <c r="BT1071" s="13"/>
      <c r="BU1071" s="13"/>
      <c r="BV1071" s="13"/>
      <c r="BW1071" s="13"/>
      <c r="BX1071" s="13"/>
      <c r="BY1071" s="13"/>
      <c r="BZ1071" s="13"/>
      <c r="CA1071" s="13"/>
      <c r="CB1071" s="13"/>
      <c r="CC1071" s="13"/>
      <c r="CD1071" s="13"/>
      <c r="CE1071" s="13"/>
      <c r="CF1071" s="13"/>
      <c r="CG1071" s="13"/>
      <c r="CH1071" s="16" t="e">
        <f>IF(#REF!="","",#REF!-D1109)</f>
        <v>#REF!</v>
      </c>
      <c r="CI1071" s="13"/>
      <c r="CJ1071" s="13"/>
      <c r="CK1071" s="13"/>
      <c r="CL1071" s="13"/>
    </row>
    <row r="1072" spans="1:90" s="13" customFormat="1" ht="12" customHeight="1" x14ac:dyDescent="0.15">
      <c r="A1072" s="487"/>
      <c r="B1072" s="526"/>
      <c r="C1072" s="470" t="s">
        <v>2467</v>
      </c>
      <c r="D1072" s="277">
        <f>7200+550+24600+1500+2750</f>
        <v>36600</v>
      </c>
      <c r="E1072" s="7"/>
      <c r="F1072" s="470" t="s">
        <v>993</v>
      </c>
      <c r="G1072" s="237">
        <v>6</v>
      </c>
      <c r="H1072" s="323">
        <v>27</v>
      </c>
      <c r="I1072" s="288">
        <f t="shared" si="68"/>
        <v>0.22222222222222221</v>
      </c>
      <c r="J1072" s="8"/>
      <c r="K1072" s="23"/>
      <c r="L1072" s="10"/>
      <c r="M1072" s="277"/>
      <c r="N1072" s="345" t="s">
        <v>2384</v>
      </c>
      <c r="O1072" s="23"/>
      <c r="P1072" s="23"/>
      <c r="Q1072" s="23"/>
      <c r="R1072" s="23"/>
      <c r="S1072" s="18"/>
      <c r="T1072" s="242"/>
      <c r="U1072" s="315"/>
      <c r="V1072" s="315"/>
      <c r="W1072" s="14"/>
      <c r="AY1072" s="15"/>
      <c r="AZ1072" s="6"/>
      <c r="CH1072" s="16" t="e">
        <f>IF(#REF!="","",#REF!-#REF!)</f>
        <v>#REF!</v>
      </c>
    </row>
    <row r="1073" spans="1:90" s="243" customFormat="1" ht="12" customHeight="1" x14ac:dyDescent="0.15">
      <c r="A1073" s="487"/>
      <c r="B1073" s="526"/>
      <c r="C1073" s="470" t="s">
        <v>1953</v>
      </c>
      <c r="D1073" s="277">
        <f>28150+885+7080</f>
        <v>36115</v>
      </c>
      <c r="E1073" s="241"/>
      <c r="F1073" s="470" t="s">
        <v>575</v>
      </c>
      <c r="G1073" s="237">
        <v>0</v>
      </c>
      <c r="H1073" s="323">
        <v>3</v>
      </c>
      <c r="I1073" s="288">
        <f t="shared" si="68"/>
        <v>0</v>
      </c>
      <c r="J1073" s="27"/>
      <c r="K1073" s="237"/>
      <c r="L1073" s="276"/>
      <c r="M1073" s="277"/>
      <c r="N1073" s="343"/>
      <c r="P1073" s="343" t="s">
        <v>845</v>
      </c>
      <c r="Q1073" s="343" t="s">
        <v>2385</v>
      </c>
      <c r="R1073" s="343" t="s">
        <v>2387</v>
      </c>
      <c r="S1073" s="343" t="s">
        <v>2386</v>
      </c>
      <c r="V1073" s="315"/>
      <c r="W1073" s="282"/>
      <c r="AY1073" s="283"/>
      <c r="AZ1073" s="242"/>
      <c r="CH1073" s="284" t="e">
        <f>IF(#REF!="","",#REF!-B1051)</f>
        <v>#REF!</v>
      </c>
    </row>
    <row r="1074" spans="1:90" s="315" customFormat="1" ht="12" customHeight="1" x14ac:dyDescent="0.15">
      <c r="A1074" s="345" t="s">
        <v>3711</v>
      </c>
      <c r="B1074" s="470"/>
      <c r="C1074" s="470" t="s">
        <v>1831</v>
      </c>
      <c r="D1074" s="277">
        <f>32200+375</f>
        <v>32575</v>
      </c>
      <c r="E1074" s="28"/>
      <c r="F1074" s="470" t="s">
        <v>5595</v>
      </c>
      <c r="G1074" s="237">
        <v>0</v>
      </c>
      <c r="H1074" s="323">
        <v>1</v>
      </c>
      <c r="I1074" s="288">
        <f t="shared" si="68"/>
        <v>0</v>
      </c>
      <c r="J1074" s="275"/>
      <c r="K1074" s="33"/>
      <c r="L1074" s="304"/>
      <c r="M1074" s="344">
        <v>1</v>
      </c>
      <c r="N1074" s="7" t="s">
        <v>994</v>
      </c>
      <c r="O1074" s="346"/>
      <c r="P1074" s="66">
        <v>39126</v>
      </c>
      <c r="Q1074" s="66">
        <v>42441</v>
      </c>
      <c r="R1074" s="7">
        <f>Q1074-P1074</f>
        <v>3315</v>
      </c>
      <c r="S1074" s="470"/>
      <c r="T1074" s="243"/>
      <c r="U1074" s="243"/>
      <c r="V1074" s="243"/>
      <c r="W1074" s="31"/>
      <c r="AY1074" s="316"/>
      <c r="AZ1074" s="317"/>
      <c r="CH1074" s="318"/>
    </row>
    <row r="1075" spans="1:90" s="243" customFormat="1" ht="12" customHeight="1" x14ac:dyDescent="0.15">
      <c r="A1075" s="242" t="s">
        <v>2170</v>
      </c>
      <c r="B1075" s="470">
        <v>2</v>
      </c>
      <c r="C1075" s="470" t="s">
        <v>3694</v>
      </c>
      <c r="D1075" s="277">
        <f>27280+2360+100</f>
        <v>29740</v>
      </c>
      <c r="E1075" s="241"/>
      <c r="F1075" s="470" t="s">
        <v>1180</v>
      </c>
      <c r="G1075" s="237">
        <v>0</v>
      </c>
      <c r="H1075" s="323">
        <v>1</v>
      </c>
      <c r="I1075" s="288">
        <f t="shared" ref="I1075:I1097" si="69">IF(G1075="","",G1075/H1075)</f>
        <v>0</v>
      </c>
      <c r="J1075" s="309"/>
      <c r="K1075" s="237"/>
      <c r="L1075" s="276"/>
      <c r="M1075" s="344">
        <v>2</v>
      </c>
      <c r="N1075" s="7" t="s">
        <v>984</v>
      </c>
      <c r="O1075" s="346"/>
      <c r="P1075" s="66">
        <v>38761</v>
      </c>
      <c r="Q1075" s="66">
        <v>42062</v>
      </c>
      <c r="R1075" s="7">
        <f>Q1075-P1075</f>
        <v>3301</v>
      </c>
      <c r="S1075" s="470"/>
      <c r="U1075" s="315"/>
      <c r="V1075" s="13"/>
      <c r="W1075" s="282"/>
      <c r="AY1075" s="283"/>
      <c r="AZ1075" s="242"/>
      <c r="CH1075" s="284" t="e">
        <f>IF(#REF!="","",#REF!-B1058)</f>
        <v>#REF!</v>
      </c>
    </row>
    <row r="1076" spans="1:90" s="315" customFormat="1" ht="12" customHeight="1" x14ac:dyDescent="0.15">
      <c r="A1076" s="242" t="s">
        <v>2172</v>
      </c>
      <c r="B1076" s="470">
        <v>3</v>
      </c>
      <c r="C1076" s="470" t="s">
        <v>3182</v>
      </c>
      <c r="D1076" s="277">
        <v>29600</v>
      </c>
      <c r="E1076" s="28"/>
      <c r="F1076" s="470" t="s">
        <v>881</v>
      </c>
      <c r="G1076" s="237">
        <v>2</v>
      </c>
      <c r="H1076" s="323">
        <v>4</v>
      </c>
      <c r="I1076" s="288">
        <f t="shared" si="69"/>
        <v>0.5</v>
      </c>
      <c r="J1076" s="275"/>
      <c r="K1076" s="237"/>
      <c r="L1076" s="304"/>
      <c r="M1076" s="344">
        <v>3</v>
      </c>
      <c r="N1076" s="7" t="s">
        <v>994</v>
      </c>
      <c r="O1076" s="346"/>
      <c r="P1076" s="66">
        <v>39126</v>
      </c>
      <c r="Q1076" s="66">
        <v>42427</v>
      </c>
      <c r="R1076" s="7">
        <f>Q1076-P1076</f>
        <v>3301</v>
      </c>
      <c r="S1076" s="470"/>
      <c r="T1076" s="243"/>
      <c r="U1076" s="243"/>
      <c r="V1076" s="13"/>
      <c r="W1076" s="31"/>
      <c r="AY1076" s="316"/>
      <c r="AZ1076" s="317"/>
      <c r="CH1076" s="318"/>
    </row>
    <row r="1077" spans="1:90" s="243" customFormat="1" ht="12" customHeight="1" x14ac:dyDescent="0.15">
      <c r="A1077" s="242" t="s">
        <v>3263</v>
      </c>
      <c r="B1077" s="470">
        <v>2</v>
      </c>
      <c r="C1077" s="470" t="s">
        <v>2143</v>
      </c>
      <c r="D1077" s="277">
        <f>26400+1450</f>
        <v>27850</v>
      </c>
      <c r="E1077" s="28"/>
      <c r="F1077" s="7" t="s">
        <v>257</v>
      </c>
      <c r="G1077" s="237">
        <v>0</v>
      </c>
      <c r="H1077" s="323">
        <v>2</v>
      </c>
      <c r="I1077" s="288">
        <f t="shared" si="69"/>
        <v>0</v>
      </c>
      <c r="J1077" s="275"/>
      <c r="K1077" s="237"/>
      <c r="L1077" s="304"/>
      <c r="M1077" s="344">
        <v>4</v>
      </c>
      <c r="N1077" s="7" t="s">
        <v>830</v>
      </c>
      <c r="O1077" s="346"/>
      <c r="P1077" s="66">
        <v>38762</v>
      </c>
      <c r="Q1077" s="66">
        <v>41902</v>
      </c>
      <c r="R1077" s="7">
        <f t="shared" ref="R1077:R1094" si="70">Q1077-P1077</f>
        <v>3140</v>
      </c>
      <c r="S1077" s="470"/>
      <c r="W1077" s="31"/>
      <c r="X1077" s="315"/>
      <c r="Y1077" s="315"/>
      <c r="Z1077" s="315"/>
      <c r="AA1077" s="315"/>
      <c r="AB1077" s="315"/>
      <c r="AC1077" s="315"/>
      <c r="AD1077" s="315"/>
      <c r="AE1077" s="315"/>
      <c r="AF1077" s="315"/>
      <c r="AG1077" s="315"/>
      <c r="AH1077" s="315"/>
      <c r="AI1077" s="315"/>
      <c r="AJ1077" s="315"/>
      <c r="AK1077" s="315"/>
      <c r="AL1077" s="315"/>
      <c r="AM1077" s="315"/>
      <c r="AN1077" s="315"/>
      <c r="AO1077" s="315"/>
      <c r="AP1077" s="315"/>
      <c r="AQ1077" s="315"/>
      <c r="AR1077" s="315"/>
      <c r="AS1077" s="315"/>
      <c r="AT1077" s="315"/>
      <c r="AU1077" s="315"/>
      <c r="AV1077" s="315"/>
      <c r="AW1077" s="315"/>
      <c r="AX1077" s="315"/>
      <c r="AY1077" s="316"/>
      <c r="AZ1077" s="317"/>
      <c r="BA1077" s="315"/>
      <c r="BB1077" s="315"/>
      <c r="BC1077" s="315"/>
      <c r="BD1077" s="315"/>
      <c r="BE1077" s="315"/>
      <c r="BF1077" s="315"/>
      <c r="BG1077" s="315"/>
      <c r="BH1077" s="315"/>
      <c r="BI1077" s="315"/>
      <c r="BJ1077" s="315"/>
      <c r="BK1077" s="315"/>
      <c r="BL1077" s="315"/>
      <c r="BM1077" s="315"/>
      <c r="BN1077" s="315"/>
      <c r="BO1077" s="315"/>
      <c r="BP1077" s="315"/>
      <c r="BQ1077" s="315"/>
      <c r="BR1077" s="315"/>
      <c r="BS1077" s="315"/>
      <c r="BT1077" s="315"/>
      <c r="BU1077" s="315"/>
      <c r="BV1077" s="315"/>
      <c r="BW1077" s="315"/>
      <c r="BX1077" s="315"/>
      <c r="BY1077" s="315"/>
      <c r="BZ1077" s="315"/>
      <c r="CA1077" s="315"/>
      <c r="CB1077" s="315"/>
      <c r="CC1077" s="315"/>
      <c r="CD1077" s="315"/>
      <c r="CE1077" s="315"/>
      <c r="CF1077" s="315"/>
      <c r="CG1077" s="315"/>
      <c r="CH1077" s="318"/>
      <c r="CI1077" s="315"/>
      <c r="CJ1077" s="315"/>
      <c r="CK1077" s="315"/>
      <c r="CL1077" s="315"/>
    </row>
    <row r="1078" spans="1:90" s="315" customFormat="1" ht="12" customHeight="1" x14ac:dyDescent="0.15">
      <c r="A1078" s="242" t="s">
        <v>3154</v>
      </c>
      <c r="B1078" s="470">
        <v>2</v>
      </c>
      <c r="C1078" s="470" t="s">
        <v>2364</v>
      </c>
      <c r="D1078" s="277">
        <f>11405+700+1820+3400+7800</f>
        <v>25125</v>
      </c>
      <c r="E1078" s="241"/>
      <c r="F1078" s="470" t="s">
        <v>1196</v>
      </c>
      <c r="G1078" s="237">
        <v>0</v>
      </c>
      <c r="H1078" s="323">
        <v>2</v>
      </c>
      <c r="I1078" s="288">
        <f t="shared" si="69"/>
        <v>0</v>
      </c>
      <c r="J1078" s="275"/>
      <c r="K1078" s="33"/>
      <c r="L1078" s="276"/>
      <c r="M1078" s="344">
        <v>5</v>
      </c>
      <c r="N1078" s="7" t="s">
        <v>984</v>
      </c>
      <c r="O1078" s="346"/>
      <c r="P1078" s="66">
        <v>38761</v>
      </c>
      <c r="Q1078" s="66">
        <v>41889</v>
      </c>
      <c r="R1078" s="7">
        <f t="shared" si="70"/>
        <v>3128</v>
      </c>
      <c r="S1078" s="470"/>
      <c r="T1078" s="243"/>
      <c r="U1078" s="243"/>
      <c r="W1078" s="282"/>
      <c r="X1078" s="243"/>
      <c r="Y1078" s="243"/>
      <c r="Z1078" s="243"/>
      <c r="AA1078" s="243"/>
      <c r="AB1078" s="243"/>
      <c r="AC1078" s="243"/>
      <c r="AD1078" s="243"/>
      <c r="AE1078" s="243"/>
      <c r="AF1078" s="243"/>
      <c r="AG1078" s="243"/>
      <c r="AH1078" s="243"/>
      <c r="AI1078" s="243"/>
      <c r="AJ1078" s="243"/>
      <c r="AK1078" s="243"/>
      <c r="AL1078" s="243"/>
      <c r="AM1078" s="243"/>
      <c r="AN1078" s="243"/>
      <c r="AO1078" s="243"/>
      <c r="AP1078" s="243"/>
      <c r="AQ1078" s="243"/>
      <c r="AR1078" s="243"/>
      <c r="AS1078" s="243"/>
      <c r="AT1078" s="243"/>
      <c r="AU1078" s="243"/>
      <c r="AV1078" s="243"/>
      <c r="AW1078" s="243"/>
      <c r="AX1078" s="243"/>
      <c r="AY1078" s="283"/>
      <c r="AZ1078" s="242"/>
      <c r="BA1078" s="243"/>
      <c r="BB1078" s="243"/>
      <c r="BC1078" s="243"/>
      <c r="BD1078" s="243"/>
      <c r="BE1078" s="243"/>
      <c r="BF1078" s="243"/>
      <c r="BG1078" s="243"/>
      <c r="BH1078" s="243"/>
      <c r="BI1078" s="243"/>
      <c r="BJ1078" s="243"/>
      <c r="BK1078" s="243"/>
      <c r="BL1078" s="243"/>
      <c r="BM1078" s="243"/>
      <c r="BN1078" s="243"/>
      <c r="BO1078" s="243"/>
      <c r="BP1078" s="243"/>
      <c r="BQ1078" s="243"/>
      <c r="BR1078" s="243"/>
      <c r="BS1078" s="243"/>
      <c r="BT1078" s="243"/>
      <c r="BU1078" s="243"/>
      <c r="BV1078" s="243"/>
      <c r="BW1078" s="243"/>
      <c r="BX1078" s="243"/>
      <c r="BY1078" s="243"/>
      <c r="BZ1078" s="243"/>
      <c r="CA1078" s="243"/>
      <c r="CB1078" s="243"/>
      <c r="CC1078" s="243"/>
      <c r="CD1078" s="243"/>
      <c r="CE1078" s="243"/>
      <c r="CF1078" s="243"/>
      <c r="CG1078" s="243"/>
      <c r="CH1078" s="284" t="e">
        <f>IF(#REF!="","",#REF!-B1080)</f>
        <v>#REF!</v>
      </c>
      <c r="CI1078" s="243"/>
      <c r="CJ1078" s="243"/>
      <c r="CK1078" s="243"/>
      <c r="CL1078" s="243"/>
    </row>
    <row r="1079" spans="1:90" s="243" customFormat="1" ht="12" customHeight="1" x14ac:dyDescent="0.15">
      <c r="A1079" s="242" t="s">
        <v>4192</v>
      </c>
      <c r="B1079" s="470">
        <v>2</v>
      </c>
      <c r="C1079" s="470" t="s">
        <v>3183</v>
      </c>
      <c r="D1079" s="277">
        <f>6080+220+15600+260</f>
        <v>22160</v>
      </c>
      <c r="E1079" s="241"/>
      <c r="F1079" s="470" t="s">
        <v>1173</v>
      </c>
      <c r="G1079" s="237"/>
      <c r="H1079" s="323"/>
      <c r="I1079" s="288" t="str">
        <f t="shared" si="69"/>
        <v/>
      </c>
      <c r="J1079" s="309"/>
      <c r="K1079" s="33"/>
      <c r="L1079" s="276"/>
      <c r="M1079" s="344">
        <v>6</v>
      </c>
      <c r="N1079" s="7" t="s">
        <v>994</v>
      </c>
      <c r="O1079" s="346"/>
      <c r="P1079" s="66">
        <v>39126</v>
      </c>
      <c r="Q1079" s="66">
        <v>42252</v>
      </c>
      <c r="R1079" s="7">
        <f t="shared" si="70"/>
        <v>3126</v>
      </c>
      <c r="S1079" s="470"/>
      <c r="W1079" s="282"/>
      <c r="AY1079" s="283"/>
      <c r="AZ1079" s="242"/>
      <c r="CH1079" s="284">
        <f>IF(B1047="","",B1047-B1106)</f>
        <v>2</v>
      </c>
    </row>
    <row r="1080" spans="1:90" s="243" customFormat="1" ht="12" customHeight="1" x14ac:dyDescent="0.15">
      <c r="A1080" s="522" t="s">
        <v>3496</v>
      </c>
      <c r="B1080" s="470"/>
      <c r="C1080" s="457" t="s">
        <v>2177</v>
      </c>
      <c r="D1080" s="277">
        <f>19980+200+1770</f>
        <v>21950</v>
      </c>
      <c r="E1080" s="241"/>
      <c r="F1080" s="470" t="s">
        <v>2314</v>
      </c>
      <c r="G1080" s="237">
        <v>0</v>
      </c>
      <c r="H1080" s="323">
        <v>4</v>
      </c>
      <c r="I1080" s="288">
        <f t="shared" si="69"/>
        <v>0</v>
      </c>
      <c r="J1080" s="309"/>
      <c r="K1080" s="237"/>
      <c r="L1080" s="276"/>
      <c r="M1080" s="344">
        <v>7</v>
      </c>
      <c r="N1080" s="7" t="s">
        <v>351</v>
      </c>
      <c r="O1080" s="346"/>
      <c r="P1080" s="66">
        <v>39471</v>
      </c>
      <c r="Q1080" s="66">
        <v>42583</v>
      </c>
      <c r="R1080" s="7">
        <f t="shared" si="70"/>
        <v>3112</v>
      </c>
      <c r="S1080" s="470"/>
      <c r="V1080" s="315"/>
      <c r="W1080" s="282"/>
      <c r="AY1080" s="283"/>
      <c r="AZ1080" s="242"/>
      <c r="CH1080" s="284" t="e">
        <f>IF(B1048="","",B1048-#REF!)</f>
        <v>#REF!</v>
      </c>
    </row>
    <row r="1081" spans="1:90" s="243" customFormat="1" ht="12" customHeight="1" x14ac:dyDescent="0.15">
      <c r="A1081" s="522" t="s">
        <v>3328</v>
      </c>
      <c r="B1081" s="470"/>
      <c r="C1081" s="526" t="s">
        <v>2459</v>
      </c>
      <c r="D1081" s="277">
        <f>7266+2520+1195+6006+840+3800</f>
        <v>21627</v>
      </c>
      <c r="E1081" s="241"/>
      <c r="F1081" s="470" t="s">
        <v>595</v>
      </c>
      <c r="G1081" s="237">
        <v>1</v>
      </c>
      <c r="H1081" s="323">
        <v>10</v>
      </c>
      <c r="I1081" s="288">
        <f t="shared" si="69"/>
        <v>0.1</v>
      </c>
      <c r="J1081" s="275"/>
      <c r="K1081" s="237"/>
      <c r="L1081" s="276"/>
      <c r="M1081" s="344">
        <v>8</v>
      </c>
      <c r="N1081" s="7" t="s">
        <v>984</v>
      </c>
      <c r="O1081" s="346"/>
      <c r="P1081" s="66">
        <v>38761</v>
      </c>
      <c r="Q1081" s="66">
        <v>41866</v>
      </c>
      <c r="R1081" s="7">
        <f t="shared" si="70"/>
        <v>3105</v>
      </c>
      <c r="S1081" s="470"/>
      <c r="T1081" s="6"/>
      <c r="U1081" s="19"/>
      <c r="V1081" s="315"/>
      <c r="W1081" s="282"/>
      <c r="AY1081" s="283"/>
      <c r="AZ1081" s="242"/>
      <c r="CH1081" s="284" t="str">
        <f>IF(B1081="","",B1081-#REF!)</f>
        <v/>
      </c>
    </row>
    <row r="1082" spans="1:90" s="243" customFormat="1" ht="12" customHeight="1" x14ac:dyDescent="0.15">
      <c r="A1082" s="242" t="s">
        <v>1943</v>
      </c>
      <c r="B1082" s="470"/>
      <c r="C1082" s="470" t="s">
        <v>2178</v>
      </c>
      <c r="D1082" s="277">
        <v>21499</v>
      </c>
      <c r="E1082" s="241"/>
      <c r="F1082" s="470" t="s">
        <v>1828</v>
      </c>
      <c r="G1082" s="237">
        <v>0</v>
      </c>
      <c r="H1082" s="323">
        <v>3</v>
      </c>
      <c r="I1082" s="288">
        <f t="shared" si="69"/>
        <v>0</v>
      </c>
      <c r="J1082" s="275"/>
      <c r="K1082" s="33"/>
      <c r="L1082" s="276"/>
      <c r="M1082" s="344">
        <v>9</v>
      </c>
      <c r="N1082" s="7" t="s">
        <v>479</v>
      </c>
      <c r="O1082" s="346"/>
      <c r="P1082" s="66">
        <v>39213</v>
      </c>
      <c r="Q1082" s="66">
        <v>42313</v>
      </c>
      <c r="R1082" s="7">
        <f t="shared" si="70"/>
        <v>3100</v>
      </c>
      <c r="S1082" s="470"/>
      <c r="T1082" s="18"/>
      <c r="U1082" s="13"/>
      <c r="W1082" s="282"/>
      <c r="AY1082" s="283"/>
      <c r="AZ1082" s="242"/>
      <c r="CH1082" s="284" t="e">
        <f>IF(#REF!="","",#REF!-B1080)</f>
        <v>#REF!</v>
      </c>
    </row>
    <row r="1083" spans="1:90" ht="12" customHeight="1" x14ac:dyDescent="0.15">
      <c r="A1083" s="242" t="s">
        <v>2401</v>
      </c>
      <c r="B1083" s="470"/>
      <c r="C1083" s="470" t="s">
        <v>36</v>
      </c>
      <c r="D1083" s="277">
        <v>21234</v>
      </c>
      <c r="E1083" s="7"/>
      <c r="F1083" s="470" t="s">
        <v>3303</v>
      </c>
      <c r="G1083" s="237"/>
      <c r="H1083" s="323"/>
      <c r="I1083" s="288" t="str">
        <f t="shared" si="69"/>
        <v/>
      </c>
      <c r="J1083" s="309"/>
      <c r="L1083" s="10"/>
      <c r="M1083" s="344">
        <v>10</v>
      </c>
      <c r="N1083" s="7" t="s">
        <v>984</v>
      </c>
      <c r="O1083" s="346"/>
      <c r="P1083" s="66">
        <v>38761</v>
      </c>
      <c r="Q1083" s="66">
        <v>41853</v>
      </c>
      <c r="R1083" s="7">
        <f t="shared" si="70"/>
        <v>3092</v>
      </c>
      <c r="S1083" s="470"/>
      <c r="T1083" s="286"/>
      <c r="U1083" s="243"/>
      <c r="V1083" s="243"/>
      <c r="W1083" s="14"/>
      <c r="X1083" s="13"/>
      <c r="Y1083" s="13"/>
      <c r="Z1083" s="13"/>
      <c r="AA1083" s="13"/>
      <c r="AB1083" s="13"/>
      <c r="AC1083" s="13"/>
      <c r="AD1083" s="13"/>
      <c r="AE1083" s="13"/>
      <c r="AF1083" s="13"/>
      <c r="AG1083" s="13"/>
      <c r="AH1083" s="13"/>
      <c r="AI1083" s="13"/>
      <c r="AJ1083" s="13"/>
      <c r="AK1083" s="13"/>
      <c r="AL1083" s="13"/>
      <c r="AM1083" s="13"/>
      <c r="AN1083" s="13"/>
      <c r="AO1083" s="13"/>
      <c r="AP1083" s="13"/>
      <c r="AQ1083" s="13"/>
      <c r="AR1083" s="13"/>
      <c r="AS1083" s="13"/>
      <c r="AT1083" s="13"/>
      <c r="AU1083" s="13"/>
      <c r="AV1083" s="13"/>
      <c r="AW1083" s="13"/>
      <c r="AX1083" s="13"/>
      <c r="AY1083" s="15"/>
      <c r="AZ1083" s="6"/>
      <c r="BA1083" s="13"/>
      <c r="BB1083" s="13"/>
      <c r="BC1083" s="13"/>
      <c r="BD1083" s="13"/>
      <c r="BE1083" s="13"/>
      <c r="BF1083" s="13"/>
      <c r="BG1083" s="13"/>
      <c r="BH1083" s="13"/>
      <c r="BI1083" s="13"/>
      <c r="BJ1083" s="13"/>
      <c r="BK1083" s="13"/>
      <c r="BL1083" s="13"/>
      <c r="BM1083" s="13"/>
      <c r="BN1083" s="13"/>
      <c r="BO1083" s="13"/>
      <c r="BP1083" s="13"/>
      <c r="BQ1083" s="13"/>
      <c r="BR1083" s="13"/>
      <c r="BS1083" s="13"/>
      <c r="BT1083" s="13"/>
      <c r="BU1083" s="13"/>
      <c r="BV1083" s="13"/>
      <c r="BW1083" s="13"/>
      <c r="BX1083" s="13"/>
      <c r="BY1083" s="13"/>
      <c r="BZ1083" s="13"/>
      <c r="CA1083" s="13"/>
      <c r="CB1083" s="13"/>
      <c r="CC1083" s="13"/>
      <c r="CD1083" s="13"/>
      <c r="CE1083" s="13"/>
      <c r="CF1083" s="13"/>
      <c r="CG1083" s="13"/>
      <c r="CH1083" s="16">
        <f>IF(B1050="","",B1050-D1102)</f>
        <v>2</v>
      </c>
      <c r="CI1083" s="13"/>
      <c r="CJ1083" s="13"/>
      <c r="CK1083" s="13"/>
      <c r="CL1083" s="13"/>
    </row>
    <row r="1084" spans="1:90" s="13" customFormat="1" ht="12" customHeight="1" x14ac:dyDescent="0.15">
      <c r="A1084" s="242" t="s">
        <v>2355</v>
      </c>
      <c r="B1084" s="470"/>
      <c r="C1084" s="470" t="s">
        <v>2127</v>
      </c>
      <c r="D1084" s="277">
        <f>5760+2000+5880+6000+488+600</f>
        <v>20728</v>
      </c>
      <c r="E1084" s="18"/>
      <c r="F1084" s="470" t="s">
        <v>1164</v>
      </c>
      <c r="G1084" s="237">
        <v>1</v>
      </c>
      <c r="H1084" s="323">
        <v>2</v>
      </c>
      <c r="I1084" s="288">
        <f t="shared" si="69"/>
        <v>0.5</v>
      </c>
      <c r="J1084" s="27"/>
      <c r="K1084" s="9"/>
      <c r="L1084" s="215"/>
      <c r="M1084" s="344">
        <v>11</v>
      </c>
      <c r="N1084" s="7" t="s">
        <v>994</v>
      </c>
      <c r="O1084" s="346"/>
      <c r="P1084" s="66">
        <v>39126</v>
      </c>
      <c r="Q1084" s="66">
        <v>42215</v>
      </c>
      <c r="R1084" s="7">
        <f t="shared" si="70"/>
        <v>3089</v>
      </c>
      <c r="S1084" s="470"/>
      <c r="T1084" s="314"/>
      <c r="U1084" s="315"/>
      <c r="V1084" s="243"/>
      <c r="W1084" s="2"/>
      <c r="X1084" s="19"/>
      <c r="Y1084" s="19"/>
      <c r="Z1084" s="19"/>
      <c r="AA1084" s="19"/>
      <c r="AB1084" s="19"/>
      <c r="AC1084" s="19"/>
      <c r="AD1084" s="19"/>
      <c r="AE1084" s="19"/>
      <c r="AF1084" s="19"/>
      <c r="AG1084" s="19"/>
      <c r="AH1084" s="19"/>
      <c r="AI1084" s="19"/>
      <c r="AJ1084" s="19"/>
      <c r="AK1084" s="19"/>
      <c r="AL1084" s="19"/>
      <c r="AM1084" s="19"/>
      <c r="AN1084" s="19"/>
      <c r="AO1084" s="19"/>
      <c r="AP1084" s="19"/>
      <c r="AQ1084" s="19"/>
      <c r="AR1084" s="19"/>
      <c r="AS1084" s="19"/>
      <c r="AT1084" s="19"/>
      <c r="AU1084" s="19"/>
      <c r="AV1084" s="19"/>
      <c r="AW1084" s="19"/>
      <c r="AX1084" s="19"/>
      <c r="AY1084" s="218"/>
      <c r="AZ1084" s="5"/>
      <c r="BA1084" s="19"/>
      <c r="BB1084" s="19"/>
      <c r="BC1084" s="19"/>
      <c r="BD1084" s="19"/>
      <c r="BE1084" s="19"/>
      <c r="BF1084" s="19"/>
      <c r="BG1084" s="19"/>
      <c r="BH1084" s="19"/>
      <c r="BI1084" s="19"/>
      <c r="BJ1084" s="19"/>
      <c r="BK1084" s="19"/>
      <c r="BL1084" s="19"/>
      <c r="BM1084" s="19"/>
      <c r="BN1084" s="19"/>
      <c r="BO1084" s="19"/>
      <c r="BP1084" s="19"/>
      <c r="BQ1084" s="19"/>
      <c r="BR1084" s="19"/>
      <c r="BS1084" s="19"/>
      <c r="BT1084" s="19"/>
      <c r="BU1084" s="19"/>
      <c r="BV1084" s="19"/>
      <c r="BW1084" s="19"/>
      <c r="BX1084" s="19"/>
      <c r="BY1084" s="19"/>
      <c r="BZ1084" s="19"/>
      <c r="CA1084" s="19"/>
      <c r="CB1084" s="19"/>
      <c r="CC1084" s="19"/>
      <c r="CD1084" s="19"/>
      <c r="CE1084" s="19"/>
      <c r="CF1084" s="19"/>
      <c r="CG1084" s="19"/>
      <c r="CH1084" s="26"/>
      <c r="CI1084" s="19"/>
      <c r="CJ1084" s="19"/>
      <c r="CK1084" s="19"/>
      <c r="CL1084" s="19"/>
    </row>
    <row r="1085" spans="1:90" s="13" customFormat="1" ht="12" customHeight="1" x14ac:dyDescent="0.15">
      <c r="A1085" s="522" t="s">
        <v>3903</v>
      </c>
      <c r="B1085" s="470"/>
      <c r="C1085" s="228" t="s">
        <v>3825</v>
      </c>
      <c r="D1085" s="277">
        <f>1922+2784+5368+10402+99+99</f>
        <v>20674</v>
      </c>
      <c r="E1085" s="18"/>
      <c r="F1085" s="7" t="s">
        <v>3262</v>
      </c>
      <c r="G1085" s="237">
        <v>1</v>
      </c>
      <c r="H1085" s="323">
        <v>4</v>
      </c>
      <c r="I1085" s="288">
        <f t="shared" si="69"/>
        <v>0.25</v>
      </c>
      <c r="J1085" s="8"/>
      <c r="K1085" s="9"/>
      <c r="L1085" s="215"/>
      <c r="M1085" s="344">
        <v>12</v>
      </c>
      <c r="N1085" s="7" t="s">
        <v>831</v>
      </c>
      <c r="O1085" s="346"/>
      <c r="P1085" s="66">
        <v>38807</v>
      </c>
      <c r="Q1085" s="66">
        <v>41890</v>
      </c>
      <c r="R1085" s="7">
        <f t="shared" si="70"/>
        <v>3083</v>
      </c>
      <c r="S1085" s="470"/>
      <c r="T1085" s="286"/>
      <c r="U1085" s="243"/>
      <c r="V1085" s="243"/>
      <c r="W1085" s="2"/>
      <c r="X1085" s="19"/>
      <c r="Y1085" s="19"/>
      <c r="Z1085" s="19"/>
      <c r="AA1085" s="19"/>
      <c r="AB1085" s="19"/>
      <c r="AC1085" s="19"/>
      <c r="AD1085" s="19"/>
      <c r="AE1085" s="19"/>
      <c r="AF1085" s="19"/>
      <c r="AG1085" s="19"/>
      <c r="AH1085" s="19"/>
      <c r="AI1085" s="19"/>
      <c r="AJ1085" s="19"/>
      <c r="AK1085" s="19"/>
      <c r="AL1085" s="19"/>
      <c r="AM1085" s="19"/>
      <c r="AN1085" s="19"/>
      <c r="AO1085" s="19"/>
      <c r="AP1085" s="19"/>
      <c r="AQ1085" s="19"/>
      <c r="AR1085" s="19"/>
      <c r="AS1085" s="19"/>
      <c r="AT1085" s="19"/>
      <c r="AU1085" s="19"/>
      <c r="AV1085" s="19"/>
      <c r="AW1085" s="19"/>
      <c r="AX1085" s="19"/>
      <c r="AY1085" s="218"/>
      <c r="AZ1085" s="5"/>
      <c r="BA1085" s="19"/>
      <c r="BB1085" s="19"/>
      <c r="BC1085" s="19"/>
      <c r="BD1085" s="19"/>
      <c r="BE1085" s="19"/>
      <c r="BF1085" s="19"/>
      <c r="BG1085" s="19"/>
      <c r="BH1085" s="19"/>
      <c r="BI1085" s="19"/>
      <c r="BJ1085" s="19"/>
      <c r="BK1085" s="19"/>
      <c r="BL1085" s="19"/>
      <c r="BM1085" s="19"/>
      <c r="BN1085" s="19"/>
      <c r="BO1085" s="19"/>
      <c r="BP1085" s="19"/>
      <c r="BQ1085" s="19"/>
      <c r="BR1085" s="19"/>
      <c r="BS1085" s="19"/>
      <c r="BT1085" s="19"/>
      <c r="BU1085" s="19"/>
      <c r="BV1085" s="19"/>
      <c r="BW1085" s="19"/>
      <c r="BX1085" s="19"/>
      <c r="BY1085" s="19"/>
      <c r="BZ1085" s="19"/>
      <c r="CA1085" s="19"/>
      <c r="CB1085" s="19"/>
      <c r="CC1085" s="19"/>
      <c r="CD1085" s="19"/>
      <c r="CE1085" s="19"/>
      <c r="CF1085" s="19"/>
      <c r="CG1085" s="19"/>
      <c r="CH1085" s="26"/>
      <c r="CI1085" s="19"/>
      <c r="CJ1085" s="19"/>
      <c r="CK1085" s="19"/>
      <c r="CL1085" s="19"/>
    </row>
    <row r="1086" spans="1:90" s="13" customFormat="1" ht="12" customHeight="1" x14ac:dyDescent="0.15">
      <c r="A1086" s="522" t="s">
        <v>3941</v>
      </c>
      <c r="B1086" s="470"/>
      <c r="C1086" s="470" t="s">
        <v>2218</v>
      </c>
      <c r="D1086" s="277">
        <v>18920</v>
      </c>
      <c r="E1086" s="18"/>
      <c r="F1086" s="7" t="s">
        <v>5472</v>
      </c>
      <c r="G1086" s="237">
        <v>0</v>
      </c>
      <c r="H1086" s="323">
        <v>1</v>
      </c>
      <c r="I1086" s="288">
        <f t="shared" si="69"/>
        <v>0</v>
      </c>
      <c r="J1086" s="8"/>
      <c r="K1086" s="9"/>
      <c r="L1086" s="215"/>
      <c r="M1086" s="344">
        <v>13</v>
      </c>
      <c r="N1086" s="7" t="s">
        <v>984</v>
      </c>
      <c r="O1086" s="346"/>
      <c r="P1086" s="66">
        <v>38761</v>
      </c>
      <c r="Q1086" s="66">
        <v>41791</v>
      </c>
      <c r="R1086" s="7">
        <f t="shared" si="70"/>
        <v>3030</v>
      </c>
      <c r="S1086" s="470"/>
      <c r="T1086" s="314"/>
      <c r="U1086" s="315"/>
      <c r="V1086" s="243"/>
      <c r="W1086" s="2"/>
      <c r="X1086" s="19"/>
      <c r="Y1086" s="19"/>
      <c r="Z1086" s="19"/>
      <c r="AA1086" s="19"/>
      <c r="AB1086" s="19"/>
      <c r="AC1086" s="19"/>
      <c r="AD1086" s="19"/>
      <c r="AE1086" s="19"/>
      <c r="AF1086" s="19"/>
      <c r="AG1086" s="19"/>
      <c r="AH1086" s="19"/>
      <c r="AI1086" s="19"/>
      <c r="AJ1086" s="19"/>
      <c r="AK1086" s="19"/>
      <c r="AL1086" s="19"/>
      <c r="AM1086" s="19"/>
      <c r="AN1086" s="19"/>
      <c r="AO1086" s="19"/>
      <c r="AP1086" s="19"/>
      <c r="AQ1086" s="19"/>
      <c r="AR1086" s="19"/>
      <c r="AS1086" s="19"/>
      <c r="AT1086" s="19"/>
      <c r="AU1086" s="19"/>
      <c r="AV1086" s="19"/>
      <c r="AW1086" s="19"/>
      <c r="AX1086" s="19"/>
      <c r="AY1086" s="218"/>
      <c r="AZ1086" s="5"/>
      <c r="BA1086" s="19"/>
      <c r="BB1086" s="19"/>
      <c r="BC1086" s="19"/>
      <c r="BD1086" s="19"/>
      <c r="BE1086" s="19"/>
      <c r="BF1086" s="19"/>
      <c r="BG1086" s="19"/>
      <c r="BH1086" s="19"/>
      <c r="BI1086" s="19"/>
      <c r="BJ1086" s="19"/>
      <c r="BK1086" s="19"/>
      <c r="BL1086" s="19"/>
      <c r="BM1086" s="19"/>
      <c r="BN1086" s="19"/>
      <c r="BO1086" s="19"/>
      <c r="BP1086" s="19"/>
      <c r="BQ1086" s="19"/>
      <c r="BR1086" s="19"/>
      <c r="BS1086" s="19"/>
      <c r="BT1086" s="19"/>
      <c r="BU1086" s="19"/>
      <c r="BV1086" s="19"/>
      <c r="BW1086" s="19"/>
      <c r="BX1086" s="19"/>
      <c r="BY1086" s="19"/>
      <c r="BZ1086" s="19"/>
      <c r="CA1086" s="19"/>
      <c r="CB1086" s="19"/>
      <c r="CC1086" s="19"/>
      <c r="CD1086" s="19"/>
      <c r="CE1086" s="19"/>
      <c r="CF1086" s="19"/>
      <c r="CG1086" s="19"/>
      <c r="CH1086" s="26"/>
      <c r="CI1086" s="19"/>
      <c r="CJ1086" s="19"/>
      <c r="CK1086" s="19"/>
      <c r="CL1086" s="19"/>
    </row>
    <row r="1087" spans="1:90" s="13" customFormat="1" ht="12" customHeight="1" x14ac:dyDescent="0.15">
      <c r="A1087" s="522" t="s">
        <v>3369</v>
      </c>
      <c r="B1087" s="470">
        <v>2</v>
      </c>
      <c r="C1087" s="470" t="s">
        <v>3339</v>
      </c>
      <c r="D1087" s="277">
        <v>18530</v>
      </c>
      <c r="E1087" s="18"/>
      <c r="F1087" s="7" t="s">
        <v>1147</v>
      </c>
      <c r="G1087" s="237"/>
      <c r="H1087" s="323"/>
      <c r="I1087" s="288" t="str">
        <f t="shared" si="69"/>
        <v/>
      </c>
      <c r="J1087" s="8"/>
      <c r="K1087" s="9"/>
      <c r="L1087" s="215"/>
      <c r="M1087" s="344">
        <v>14</v>
      </c>
      <c r="N1087" s="7" t="s">
        <v>994</v>
      </c>
      <c r="O1087" s="346"/>
      <c r="P1087" s="66">
        <v>39126</v>
      </c>
      <c r="Q1087" s="66">
        <v>42148</v>
      </c>
      <c r="R1087" s="7">
        <f t="shared" si="70"/>
        <v>3022</v>
      </c>
      <c r="S1087" s="470"/>
      <c r="T1087" s="314"/>
      <c r="U1087" s="315"/>
      <c r="W1087" s="2"/>
      <c r="X1087" s="19"/>
      <c r="Y1087" s="19"/>
      <c r="Z1087" s="19"/>
      <c r="AA1087" s="19"/>
      <c r="AB1087" s="19"/>
      <c r="AC1087" s="19"/>
      <c r="AD1087" s="19"/>
      <c r="AE1087" s="19"/>
      <c r="AF1087" s="19"/>
      <c r="AG1087" s="19"/>
      <c r="AH1087" s="19"/>
      <c r="AI1087" s="19"/>
      <c r="AJ1087" s="19"/>
      <c r="AK1087" s="19"/>
      <c r="AL1087" s="19"/>
      <c r="AM1087" s="19"/>
      <c r="AN1087" s="19"/>
      <c r="AO1087" s="19"/>
      <c r="AP1087" s="19"/>
      <c r="AQ1087" s="19"/>
      <c r="AR1087" s="19"/>
      <c r="AS1087" s="19"/>
      <c r="AT1087" s="19"/>
      <c r="AU1087" s="19"/>
      <c r="AV1087" s="19"/>
      <c r="AW1087" s="19"/>
      <c r="AX1087" s="19"/>
      <c r="AY1087" s="218"/>
      <c r="AZ1087" s="5"/>
      <c r="BA1087" s="19"/>
      <c r="BB1087" s="19"/>
      <c r="BC1087" s="19"/>
      <c r="BD1087" s="19"/>
      <c r="BE1087" s="19"/>
      <c r="BF1087" s="19"/>
      <c r="BG1087" s="19"/>
      <c r="BH1087" s="19"/>
      <c r="BI1087" s="19"/>
      <c r="BJ1087" s="19"/>
      <c r="BK1087" s="19"/>
      <c r="BL1087" s="19"/>
      <c r="BM1087" s="19"/>
      <c r="BN1087" s="19"/>
      <c r="BO1087" s="19"/>
      <c r="BP1087" s="19"/>
      <c r="BQ1087" s="19"/>
      <c r="BR1087" s="19"/>
      <c r="BS1087" s="19"/>
      <c r="BT1087" s="19"/>
      <c r="BU1087" s="19"/>
      <c r="BV1087" s="19"/>
      <c r="BW1087" s="19"/>
      <c r="BX1087" s="19"/>
      <c r="BY1087" s="19"/>
      <c r="BZ1087" s="19"/>
      <c r="CA1087" s="19"/>
      <c r="CB1087" s="19"/>
      <c r="CC1087" s="19"/>
      <c r="CD1087" s="19"/>
      <c r="CE1087" s="19"/>
      <c r="CF1087" s="19"/>
      <c r="CG1087" s="19"/>
      <c r="CH1087" s="26"/>
      <c r="CI1087" s="19"/>
      <c r="CJ1087" s="19"/>
      <c r="CK1087" s="19"/>
      <c r="CL1087" s="19"/>
    </row>
    <row r="1088" spans="1:90" s="13" customFormat="1" ht="12" customHeight="1" x14ac:dyDescent="0.15">
      <c r="A1088" s="242" t="s">
        <v>1295</v>
      </c>
      <c r="B1088" s="470"/>
      <c r="C1088" s="522" t="s">
        <v>4011</v>
      </c>
      <c r="D1088" s="277">
        <v>16920</v>
      </c>
      <c r="E1088" s="18"/>
      <c r="F1088" s="470" t="s">
        <v>2398</v>
      </c>
      <c r="G1088" s="237"/>
      <c r="H1088" s="323"/>
      <c r="I1088" s="288" t="str">
        <f t="shared" si="69"/>
        <v/>
      </c>
      <c r="J1088" s="8"/>
      <c r="K1088" s="9"/>
      <c r="L1088" s="215"/>
      <c r="M1088" s="344">
        <v>15</v>
      </c>
      <c r="N1088" s="7" t="s">
        <v>984</v>
      </c>
      <c r="O1088" s="346"/>
      <c r="P1088" s="66">
        <v>38761</v>
      </c>
      <c r="Q1088" s="66">
        <v>41728</v>
      </c>
      <c r="R1088" s="7">
        <f t="shared" si="70"/>
        <v>2967</v>
      </c>
      <c r="S1088" s="470"/>
      <c r="T1088" s="314"/>
      <c r="V1088" s="19"/>
      <c r="W1088" s="2"/>
      <c r="X1088" s="19"/>
      <c r="Y1088" s="19"/>
      <c r="Z1088" s="19"/>
      <c r="AA1088" s="19"/>
      <c r="AB1088" s="19"/>
      <c r="AC1088" s="19"/>
      <c r="AD1088" s="19"/>
      <c r="AE1088" s="19"/>
      <c r="AF1088" s="19"/>
      <c r="AG1088" s="19"/>
      <c r="AH1088" s="19"/>
      <c r="AI1088" s="19"/>
      <c r="AJ1088" s="19"/>
      <c r="AK1088" s="19"/>
      <c r="AL1088" s="19"/>
      <c r="AM1088" s="19"/>
      <c r="AN1088" s="19"/>
      <c r="AO1088" s="19"/>
      <c r="AP1088" s="19"/>
      <c r="AQ1088" s="19"/>
      <c r="AR1088" s="19"/>
      <c r="AS1088" s="19"/>
      <c r="AT1088" s="19"/>
      <c r="AU1088" s="19"/>
      <c r="AV1088" s="19"/>
      <c r="AW1088" s="19"/>
      <c r="AX1088" s="19"/>
      <c r="AY1088" s="218"/>
      <c r="AZ1088" s="5"/>
      <c r="BA1088" s="19"/>
      <c r="BB1088" s="19"/>
      <c r="BC1088" s="19"/>
      <c r="BD1088" s="19"/>
      <c r="BE1088" s="19"/>
      <c r="BF1088" s="19"/>
      <c r="BG1088" s="19"/>
      <c r="BH1088" s="19"/>
      <c r="BI1088" s="19"/>
      <c r="BJ1088" s="19"/>
      <c r="BK1088" s="19"/>
      <c r="BL1088" s="19"/>
      <c r="BM1088" s="19"/>
      <c r="BN1088" s="19"/>
      <c r="BO1088" s="19"/>
      <c r="BP1088" s="19"/>
      <c r="BQ1088" s="19"/>
      <c r="BR1088" s="19"/>
      <c r="BS1088" s="19"/>
      <c r="BT1088" s="19"/>
      <c r="BU1088" s="19"/>
      <c r="BV1088" s="19"/>
      <c r="BW1088" s="19"/>
      <c r="BX1088" s="19"/>
      <c r="BY1088" s="19"/>
      <c r="BZ1088" s="19"/>
      <c r="CA1088" s="19"/>
      <c r="CB1088" s="19"/>
      <c r="CC1088" s="19"/>
      <c r="CD1088" s="19"/>
      <c r="CE1088" s="19"/>
      <c r="CF1088" s="19"/>
      <c r="CG1088" s="19"/>
      <c r="CH1088" s="26"/>
      <c r="CI1088" s="19"/>
      <c r="CJ1088" s="19"/>
      <c r="CK1088" s="19"/>
      <c r="CL1088" s="19"/>
    </row>
    <row r="1089" spans="1:90" s="13" customFormat="1" ht="12" customHeight="1" x14ac:dyDescent="0.15">
      <c r="A1089" s="522" t="s">
        <v>3776</v>
      </c>
      <c r="B1089" s="470"/>
      <c r="C1089" s="228" t="s">
        <v>4003</v>
      </c>
      <c r="D1089" s="277">
        <v>16906</v>
      </c>
      <c r="E1089" s="18"/>
      <c r="F1089" s="470" t="s">
        <v>540</v>
      </c>
      <c r="G1089" s="237">
        <v>4</v>
      </c>
      <c r="H1089" s="323">
        <v>32</v>
      </c>
      <c r="I1089" s="288">
        <f t="shared" si="69"/>
        <v>0.125</v>
      </c>
      <c r="J1089" s="8"/>
      <c r="K1089" s="9"/>
      <c r="L1089" s="215"/>
      <c r="M1089" s="344">
        <v>16</v>
      </c>
      <c r="N1089" s="7" t="s">
        <v>831</v>
      </c>
      <c r="O1089" s="346"/>
      <c r="P1089" s="66">
        <v>38807</v>
      </c>
      <c r="Q1089" s="66">
        <v>41761</v>
      </c>
      <c r="R1089" s="7">
        <f t="shared" si="70"/>
        <v>2954</v>
      </c>
      <c r="S1089" s="470"/>
      <c r="T1089" s="286"/>
      <c r="V1089" s="19"/>
      <c r="W1089" s="2"/>
      <c r="X1089" s="19"/>
      <c r="Y1089" s="19"/>
      <c r="Z1089" s="19"/>
      <c r="AA1089" s="19"/>
      <c r="AB1089" s="19"/>
      <c r="AC1089" s="19"/>
      <c r="AD1089" s="19"/>
      <c r="AE1089" s="19"/>
      <c r="AF1089" s="19"/>
      <c r="AG1089" s="19"/>
      <c r="AH1089" s="19"/>
      <c r="AI1089" s="19"/>
      <c r="AJ1089" s="19"/>
      <c r="AK1089" s="19"/>
      <c r="AL1089" s="19"/>
      <c r="AM1089" s="19"/>
      <c r="AN1089" s="19"/>
      <c r="AO1089" s="19"/>
      <c r="AP1089" s="19"/>
      <c r="AQ1089" s="19"/>
      <c r="AR1089" s="19"/>
      <c r="AS1089" s="19"/>
      <c r="AT1089" s="19"/>
      <c r="AU1089" s="19"/>
      <c r="AV1089" s="19"/>
      <c r="AW1089" s="19"/>
      <c r="AX1089" s="19"/>
      <c r="AY1089" s="218"/>
      <c r="AZ1089" s="5"/>
      <c r="BA1089" s="19"/>
      <c r="BB1089" s="19"/>
      <c r="BC1089" s="19"/>
      <c r="BD1089" s="19"/>
      <c r="BE1089" s="19"/>
      <c r="BF1089" s="19"/>
      <c r="BG1089" s="19"/>
      <c r="BH1089" s="19"/>
      <c r="BI1089" s="19"/>
      <c r="BJ1089" s="19"/>
      <c r="BK1089" s="19"/>
      <c r="BL1089" s="19"/>
      <c r="BM1089" s="19"/>
      <c r="BN1089" s="19"/>
      <c r="BO1089" s="19"/>
      <c r="BP1089" s="19"/>
      <c r="BQ1089" s="19"/>
      <c r="BR1089" s="19"/>
      <c r="BS1089" s="19"/>
      <c r="BT1089" s="19"/>
      <c r="BU1089" s="19"/>
      <c r="BV1089" s="19"/>
      <c r="BW1089" s="19"/>
      <c r="BX1089" s="19"/>
      <c r="BY1089" s="19"/>
      <c r="BZ1089" s="19"/>
      <c r="CA1089" s="19"/>
      <c r="CB1089" s="19"/>
      <c r="CC1089" s="19"/>
      <c r="CD1089" s="19"/>
      <c r="CE1089" s="19"/>
      <c r="CF1089" s="19"/>
      <c r="CG1089" s="19"/>
      <c r="CH1089" s="26"/>
      <c r="CI1089" s="19"/>
      <c r="CJ1089" s="19"/>
      <c r="CK1089" s="19"/>
      <c r="CL1089" s="19"/>
    </row>
    <row r="1090" spans="1:90" s="13" customFormat="1" ht="12" customHeight="1" x14ac:dyDescent="0.15">
      <c r="A1090" s="242" t="s">
        <v>2227</v>
      </c>
      <c r="B1090" s="470"/>
      <c r="C1090" s="470" t="s">
        <v>3333</v>
      </c>
      <c r="D1090" s="277">
        <v>16295</v>
      </c>
      <c r="E1090" s="18"/>
      <c r="F1090" s="470" t="s">
        <v>3504</v>
      </c>
      <c r="G1090" s="237"/>
      <c r="H1090" s="323"/>
      <c r="I1090" s="288" t="str">
        <f t="shared" si="69"/>
        <v/>
      </c>
      <c r="J1090" s="8"/>
      <c r="K1090" s="9"/>
      <c r="L1090" s="215"/>
      <c r="M1090" s="344">
        <v>17</v>
      </c>
      <c r="N1090" s="7" t="s">
        <v>1094</v>
      </c>
      <c r="O1090" s="346"/>
      <c r="P1090" s="66">
        <v>39124</v>
      </c>
      <c r="Q1090" s="66">
        <v>42029</v>
      </c>
      <c r="R1090" s="7">
        <f t="shared" si="70"/>
        <v>2905</v>
      </c>
      <c r="S1090" s="470"/>
      <c r="T1090" s="314"/>
      <c r="U1090" s="19"/>
      <c r="V1090" s="19"/>
      <c r="W1090" s="2"/>
      <c r="X1090" s="19"/>
      <c r="Y1090" s="19"/>
      <c r="Z1090" s="19"/>
      <c r="AA1090" s="19"/>
      <c r="AB1090" s="19"/>
      <c r="AC1090" s="19"/>
      <c r="AD1090" s="19"/>
      <c r="AE1090" s="19"/>
      <c r="AF1090" s="19"/>
      <c r="AG1090" s="19"/>
      <c r="AH1090" s="19"/>
      <c r="AI1090" s="19"/>
      <c r="AJ1090" s="19"/>
      <c r="AK1090" s="19"/>
      <c r="AL1090" s="19"/>
      <c r="AM1090" s="19"/>
      <c r="AN1090" s="19"/>
      <c r="AO1090" s="19"/>
      <c r="AP1090" s="19"/>
      <c r="AQ1090" s="19"/>
      <c r="AR1090" s="19"/>
      <c r="AS1090" s="19"/>
      <c r="AT1090" s="19"/>
      <c r="AU1090" s="19"/>
      <c r="AV1090" s="19"/>
      <c r="AW1090" s="19"/>
      <c r="AX1090" s="19"/>
      <c r="AY1090" s="218"/>
      <c r="AZ1090" s="5"/>
      <c r="BA1090" s="19"/>
      <c r="BB1090" s="19"/>
      <c r="BC1090" s="19"/>
      <c r="BD1090" s="19"/>
      <c r="BE1090" s="19"/>
      <c r="BF1090" s="19"/>
      <c r="BG1090" s="19"/>
      <c r="BH1090" s="19"/>
      <c r="BI1090" s="19"/>
      <c r="BJ1090" s="19"/>
      <c r="BK1090" s="19"/>
      <c r="BL1090" s="19"/>
      <c r="BM1090" s="19"/>
      <c r="BN1090" s="19"/>
      <c r="BO1090" s="19"/>
      <c r="BP1090" s="19"/>
      <c r="BQ1090" s="19"/>
      <c r="BR1090" s="19"/>
      <c r="BS1090" s="19"/>
      <c r="BT1090" s="19"/>
      <c r="BU1090" s="19"/>
      <c r="BV1090" s="19"/>
      <c r="BW1090" s="19"/>
      <c r="BX1090" s="19"/>
      <c r="BY1090" s="19"/>
      <c r="BZ1090" s="19"/>
      <c r="CA1090" s="19"/>
      <c r="CB1090" s="19"/>
      <c r="CC1090" s="19"/>
      <c r="CD1090" s="19"/>
      <c r="CE1090" s="19"/>
      <c r="CF1090" s="19"/>
      <c r="CG1090" s="19"/>
      <c r="CH1090" s="26"/>
      <c r="CI1090" s="19"/>
      <c r="CJ1090" s="19"/>
      <c r="CK1090" s="19"/>
      <c r="CL1090" s="19"/>
    </row>
    <row r="1091" spans="1:90" s="13" customFormat="1" ht="12" customHeight="1" x14ac:dyDescent="0.15">
      <c r="A1091" s="242" t="s">
        <v>1666</v>
      </c>
      <c r="B1091" s="470"/>
      <c r="C1091" s="457" t="s">
        <v>3099</v>
      </c>
      <c r="D1091" s="277">
        <f>990+1980+13110</f>
        <v>16080</v>
      </c>
      <c r="E1091" s="18"/>
      <c r="F1091" s="470" t="s">
        <v>136</v>
      </c>
      <c r="G1091" s="237"/>
      <c r="H1091" s="323"/>
      <c r="I1091" s="288" t="str">
        <f t="shared" si="69"/>
        <v/>
      </c>
      <c r="J1091" s="8"/>
      <c r="K1091" s="9"/>
      <c r="L1091" s="215"/>
      <c r="M1091" s="344">
        <v>18</v>
      </c>
      <c r="N1091" s="7" t="s">
        <v>831</v>
      </c>
      <c r="O1091" s="346"/>
      <c r="P1091" s="66">
        <v>38807</v>
      </c>
      <c r="Q1091" s="66">
        <v>41705</v>
      </c>
      <c r="R1091" s="7">
        <f t="shared" si="70"/>
        <v>2898</v>
      </c>
      <c r="S1091" s="470"/>
      <c r="T1091" s="314"/>
      <c r="V1091" s="19"/>
      <c r="W1091" s="2"/>
      <c r="X1091" s="19"/>
      <c r="Y1091" s="19"/>
      <c r="Z1091" s="19"/>
      <c r="AA1091" s="19"/>
      <c r="AB1091" s="19"/>
      <c r="AC1091" s="19"/>
      <c r="AD1091" s="19"/>
      <c r="AE1091" s="19"/>
      <c r="AF1091" s="19"/>
      <c r="AG1091" s="19"/>
      <c r="AH1091" s="19"/>
      <c r="AI1091" s="19"/>
      <c r="AJ1091" s="19"/>
      <c r="AK1091" s="19"/>
      <c r="AL1091" s="19"/>
      <c r="AM1091" s="19"/>
      <c r="AN1091" s="19"/>
      <c r="AO1091" s="19"/>
      <c r="AP1091" s="19"/>
      <c r="AQ1091" s="19"/>
      <c r="AR1091" s="19"/>
      <c r="AS1091" s="19"/>
      <c r="AT1091" s="19"/>
      <c r="AU1091" s="19"/>
      <c r="AV1091" s="19"/>
      <c r="AW1091" s="19"/>
      <c r="AX1091" s="19"/>
      <c r="AY1091" s="218"/>
      <c r="AZ1091" s="5"/>
      <c r="BA1091" s="19"/>
      <c r="BB1091" s="19"/>
      <c r="BC1091" s="19"/>
      <c r="BD1091" s="19"/>
      <c r="BE1091" s="19"/>
      <c r="BF1091" s="19"/>
      <c r="BG1091" s="19"/>
      <c r="BH1091" s="19"/>
      <c r="BI1091" s="19"/>
      <c r="BJ1091" s="19"/>
      <c r="BK1091" s="19"/>
      <c r="BL1091" s="19"/>
      <c r="BM1091" s="19"/>
      <c r="BN1091" s="19"/>
      <c r="BO1091" s="19"/>
      <c r="BP1091" s="19"/>
      <c r="BQ1091" s="19"/>
      <c r="BR1091" s="19"/>
      <c r="BS1091" s="19"/>
      <c r="BT1091" s="19"/>
      <c r="BU1091" s="19"/>
      <c r="BV1091" s="19"/>
      <c r="BW1091" s="19"/>
      <c r="BX1091" s="19"/>
      <c r="BY1091" s="19"/>
      <c r="BZ1091" s="19"/>
      <c r="CA1091" s="19"/>
      <c r="CB1091" s="19"/>
      <c r="CC1091" s="19"/>
      <c r="CD1091" s="19"/>
      <c r="CE1091" s="19"/>
      <c r="CF1091" s="19"/>
      <c r="CG1091" s="19"/>
      <c r="CH1091" s="26"/>
      <c r="CI1091" s="19"/>
      <c r="CJ1091" s="19"/>
      <c r="CK1091" s="19"/>
      <c r="CL1091" s="19"/>
    </row>
    <row r="1092" spans="1:90" s="13" customFormat="1" ht="12" customHeight="1" x14ac:dyDescent="0.15">
      <c r="A1092" s="242" t="s">
        <v>2151</v>
      </c>
      <c r="B1092" s="470"/>
      <c r="C1092" s="228" t="s">
        <v>3903</v>
      </c>
      <c r="D1092" s="277">
        <f>3942+3635+1439+3942+2874+99+99</f>
        <v>16030</v>
      </c>
      <c r="E1092" s="18"/>
      <c r="F1092" s="7" t="s">
        <v>1292</v>
      </c>
      <c r="G1092" s="237">
        <v>0</v>
      </c>
      <c r="H1092" s="323">
        <v>2</v>
      </c>
      <c r="I1092" s="288">
        <f t="shared" si="69"/>
        <v>0</v>
      </c>
      <c r="J1092" s="8"/>
      <c r="K1092" s="9"/>
      <c r="L1092" s="215"/>
      <c r="M1092" s="344">
        <v>19</v>
      </c>
      <c r="N1092" s="7" t="s">
        <v>831</v>
      </c>
      <c r="O1092" s="346"/>
      <c r="P1092" s="66">
        <v>38807</v>
      </c>
      <c r="Q1092" s="66">
        <v>41636</v>
      </c>
      <c r="R1092" s="7">
        <f t="shared" si="70"/>
        <v>2829</v>
      </c>
      <c r="S1092" s="470"/>
      <c r="T1092" s="286"/>
      <c r="U1092" s="19"/>
      <c r="V1092" s="19"/>
      <c r="W1092" s="2"/>
      <c r="X1092" s="19"/>
      <c r="Y1092" s="19"/>
      <c r="Z1092" s="19"/>
      <c r="AA1092" s="19"/>
      <c r="AB1092" s="19"/>
      <c r="AC1092" s="19"/>
      <c r="AD1092" s="19"/>
      <c r="AE1092" s="19"/>
      <c r="AF1092" s="19"/>
      <c r="AG1092" s="19"/>
      <c r="AH1092" s="19"/>
      <c r="AI1092" s="19"/>
      <c r="AJ1092" s="19"/>
      <c r="AK1092" s="19"/>
      <c r="AL1092" s="19"/>
      <c r="AM1092" s="19"/>
      <c r="AN1092" s="19"/>
      <c r="AO1092" s="19"/>
      <c r="AP1092" s="19"/>
      <c r="AQ1092" s="19"/>
      <c r="AR1092" s="19"/>
      <c r="AS1092" s="19"/>
      <c r="AT1092" s="19"/>
      <c r="AU1092" s="19"/>
      <c r="AV1092" s="19"/>
      <c r="AW1092" s="19"/>
      <c r="AX1092" s="19"/>
      <c r="AY1092" s="218"/>
      <c r="AZ1092" s="5"/>
      <c r="BA1092" s="19"/>
      <c r="BB1092" s="19"/>
      <c r="BC1092" s="19"/>
      <c r="BD1092" s="19"/>
      <c r="BE1092" s="19"/>
      <c r="BF1092" s="19"/>
      <c r="BG1092" s="19"/>
      <c r="BH1092" s="19"/>
      <c r="BI1092" s="19"/>
      <c r="BJ1092" s="19"/>
      <c r="BK1092" s="19"/>
      <c r="BL1092" s="19"/>
      <c r="BM1092" s="19"/>
      <c r="BN1092" s="19"/>
      <c r="BO1092" s="19"/>
      <c r="BP1092" s="19"/>
      <c r="BQ1092" s="19"/>
      <c r="BR1092" s="19"/>
      <c r="BS1092" s="19"/>
      <c r="BT1092" s="19"/>
      <c r="BU1092" s="19"/>
      <c r="BV1092" s="19"/>
      <c r="BW1092" s="19"/>
      <c r="BX1092" s="19"/>
      <c r="BY1092" s="19"/>
      <c r="BZ1092" s="19"/>
      <c r="CA1092" s="19"/>
      <c r="CB1092" s="19"/>
      <c r="CC1092" s="19"/>
      <c r="CD1092" s="19"/>
      <c r="CE1092" s="19"/>
      <c r="CF1092" s="19"/>
      <c r="CG1092" s="19"/>
      <c r="CH1092" s="26"/>
      <c r="CI1092" s="19"/>
      <c r="CJ1092" s="19"/>
      <c r="CK1092" s="19"/>
      <c r="CL1092" s="19"/>
    </row>
    <row r="1093" spans="1:90" s="13" customFormat="1" ht="12" customHeight="1" x14ac:dyDescent="0.15">
      <c r="A1093" s="242" t="s">
        <v>2227</v>
      </c>
      <c r="B1093" s="470"/>
      <c r="C1093" s="470" t="s">
        <v>1557</v>
      </c>
      <c r="D1093" s="277">
        <f>15726+0</f>
        <v>15726</v>
      </c>
      <c r="E1093" s="18"/>
      <c r="F1093" s="470" t="s">
        <v>3291</v>
      </c>
      <c r="G1093" s="237"/>
      <c r="H1093" s="323"/>
      <c r="I1093" s="288" t="str">
        <f t="shared" si="69"/>
        <v/>
      </c>
      <c r="J1093" s="8"/>
      <c r="K1093" s="9"/>
      <c r="L1093" s="215"/>
      <c r="M1093" s="344">
        <v>20</v>
      </c>
      <c r="N1093" s="7" t="s">
        <v>759</v>
      </c>
      <c r="O1093" s="346"/>
      <c r="P1093" s="66">
        <v>38800</v>
      </c>
      <c r="Q1093" s="66">
        <v>41650</v>
      </c>
      <c r="R1093" s="7">
        <f t="shared" si="70"/>
        <v>2850</v>
      </c>
      <c r="S1093" s="470"/>
      <c r="T1093" s="243"/>
      <c r="U1093" s="19"/>
      <c r="V1093" s="19"/>
      <c r="W1093" s="2"/>
      <c r="X1093" s="19"/>
      <c r="Y1093" s="19"/>
      <c r="Z1093" s="19"/>
      <c r="AA1093" s="19"/>
      <c r="AB1093" s="19"/>
      <c r="AC1093" s="19"/>
      <c r="AD1093" s="19"/>
      <c r="AE1093" s="19"/>
      <c r="AF1093" s="19"/>
      <c r="AG1093" s="19"/>
      <c r="AH1093" s="19"/>
      <c r="AI1093" s="19"/>
      <c r="AJ1093" s="19"/>
      <c r="AK1093" s="19"/>
      <c r="AL1093" s="19"/>
      <c r="AM1093" s="19"/>
      <c r="AN1093" s="19"/>
      <c r="AO1093" s="19"/>
      <c r="AP1093" s="19"/>
      <c r="AQ1093" s="19"/>
      <c r="AR1093" s="19"/>
      <c r="AS1093" s="19"/>
      <c r="AT1093" s="19"/>
      <c r="AU1093" s="19"/>
      <c r="AV1093" s="19"/>
      <c r="AW1093" s="19"/>
      <c r="AX1093" s="19"/>
      <c r="AY1093" s="218"/>
      <c r="AZ1093" s="5"/>
      <c r="BA1093" s="19"/>
      <c r="BB1093" s="19"/>
      <c r="BC1093" s="19"/>
      <c r="BD1093" s="19"/>
      <c r="BE1093" s="19"/>
      <c r="BF1093" s="19"/>
      <c r="BG1093" s="19"/>
      <c r="BH1093" s="19"/>
      <c r="BI1093" s="19"/>
      <c r="BJ1093" s="19"/>
      <c r="BK1093" s="19"/>
      <c r="BL1093" s="19"/>
      <c r="BM1093" s="19"/>
      <c r="BN1093" s="19"/>
      <c r="BO1093" s="19"/>
      <c r="BP1093" s="19"/>
      <c r="BQ1093" s="19"/>
      <c r="BR1093" s="19"/>
      <c r="BS1093" s="19"/>
      <c r="BT1093" s="19"/>
      <c r="BU1093" s="19"/>
      <c r="BV1093" s="19"/>
      <c r="BW1093" s="19"/>
      <c r="BX1093" s="19"/>
      <c r="BY1093" s="19"/>
      <c r="BZ1093" s="19"/>
      <c r="CA1093" s="19"/>
      <c r="CB1093" s="19"/>
      <c r="CC1093" s="19"/>
      <c r="CD1093" s="19"/>
      <c r="CE1093" s="19"/>
      <c r="CF1093" s="19"/>
      <c r="CG1093" s="19"/>
      <c r="CH1093" s="26"/>
      <c r="CI1093" s="19"/>
      <c r="CJ1093" s="19"/>
      <c r="CK1093" s="19"/>
      <c r="CL1093" s="19"/>
    </row>
    <row r="1094" spans="1:90" s="13" customFormat="1" ht="12" customHeight="1" x14ac:dyDescent="0.15">
      <c r="A1094" s="242" t="s">
        <v>1953</v>
      </c>
      <c r="B1094" s="470"/>
      <c r="C1094" s="470" t="s">
        <v>1788</v>
      </c>
      <c r="D1094" s="277">
        <v>15714</v>
      </c>
      <c r="E1094" s="18"/>
      <c r="F1094" s="470" t="s">
        <v>2304</v>
      </c>
      <c r="G1094" s="237">
        <v>0</v>
      </c>
      <c r="H1094" s="323">
        <v>3</v>
      </c>
      <c r="I1094" s="288">
        <f t="shared" si="69"/>
        <v>0</v>
      </c>
      <c r="J1094" s="8"/>
      <c r="K1094" s="9"/>
      <c r="L1094" s="215"/>
      <c r="M1094" s="344" t="s">
        <v>5370</v>
      </c>
      <c r="N1094" s="7" t="s">
        <v>5380</v>
      </c>
      <c r="O1094" s="346"/>
      <c r="P1094" s="66" t="s">
        <v>548</v>
      </c>
      <c r="Q1094" s="66" t="s">
        <v>5381</v>
      </c>
      <c r="R1094" s="7" t="e">
        <f t="shared" si="70"/>
        <v>#VALUE!</v>
      </c>
      <c r="S1094" s="470"/>
      <c r="T1094" s="243"/>
      <c r="U1094" s="19"/>
      <c r="V1094" s="19"/>
      <c r="W1094" s="2"/>
      <c r="X1094" s="19"/>
      <c r="Y1094" s="19"/>
      <c r="Z1094" s="19"/>
      <c r="AA1094" s="19"/>
      <c r="AB1094" s="19"/>
      <c r="AC1094" s="19"/>
      <c r="AD1094" s="19"/>
      <c r="AE1094" s="19"/>
      <c r="AF1094" s="19"/>
      <c r="AG1094" s="19"/>
      <c r="AH1094" s="19"/>
      <c r="AI1094" s="19"/>
      <c r="AJ1094" s="19"/>
      <c r="AK1094" s="19"/>
      <c r="AL1094" s="19"/>
      <c r="AM1094" s="19"/>
      <c r="AN1094" s="19"/>
      <c r="AO1094" s="19"/>
      <c r="AP1094" s="19"/>
      <c r="AQ1094" s="19"/>
      <c r="AR1094" s="19"/>
      <c r="AS1094" s="19"/>
      <c r="AT1094" s="19"/>
      <c r="AU1094" s="19"/>
      <c r="AV1094" s="19"/>
      <c r="AW1094" s="19"/>
      <c r="AX1094" s="19"/>
      <c r="AY1094" s="218"/>
      <c r="AZ1094" s="5"/>
      <c r="BA1094" s="19"/>
      <c r="BB1094" s="19"/>
      <c r="BC1094" s="19"/>
      <c r="BD1094" s="19"/>
      <c r="BE1094" s="19"/>
      <c r="BF1094" s="19"/>
      <c r="BG1094" s="19"/>
      <c r="BH1094" s="19"/>
      <c r="BI1094" s="19"/>
      <c r="BJ1094" s="19"/>
      <c r="BK1094" s="19"/>
      <c r="BL1094" s="19"/>
      <c r="BM1094" s="19"/>
      <c r="BN1094" s="19"/>
      <c r="BO1094" s="19"/>
      <c r="BP1094" s="19"/>
      <c r="BQ1094" s="19"/>
      <c r="BR1094" s="19"/>
      <c r="BS1094" s="19"/>
      <c r="BT1094" s="19"/>
      <c r="BU1094" s="19"/>
      <c r="BV1094" s="19"/>
      <c r="BW1094" s="19"/>
      <c r="BX1094" s="19"/>
      <c r="BY1094" s="19"/>
      <c r="BZ1094" s="19"/>
      <c r="CA1094" s="19"/>
      <c r="CB1094" s="19"/>
      <c r="CC1094" s="19"/>
      <c r="CD1094" s="19"/>
      <c r="CE1094" s="19"/>
      <c r="CF1094" s="19"/>
      <c r="CG1094" s="19"/>
      <c r="CH1094" s="26"/>
      <c r="CI1094" s="19"/>
      <c r="CJ1094" s="19"/>
      <c r="CK1094" s="19"/>
      <c r="CL1094" s="19"/>
    </row>
    <row r="1095" spans="1:90" s="13" customFormat="1" ht="12" customHeight="1" x14ac:dyDescent="0.15">
      <c r="A1095" s="242" t="s">
        <v>2143</v>
      </c>
      <c r="B1095" s="470"/>
      <c r="C1095" s="457" t="s">
        <v>57</v>
      </c>
      <c r="D1095" s="277">
        <v>14100</v>
      </c>
      <c r="E1095" s="18"/>
      <c r="F1095" s="470" t="s">
        <v>4750</v>
      </c>
      <c r="G1095" s="237">
        <v>0</v>
      </c>
      <c r="H1095" s="323">
        <v>1</v>
      </c>
      <c r="I1095" s="288">
        <f t="shared" si="69"/>
        <v>0</v>
      </c>
      <c r="J1095" s="8"/>
      <c r="K1095" s="9"/>
      <c r="L1095" s="215"/>
      <c r="M1095" s="167"/>
      <c r="N1095" s="7" t="s">
        <v>1558</v>
      </c>
      <c r="O1095" s="9"/>
      <c r="P1095" s="66">
        <v>39846</v>
      </c>
      <c r="Q1095" s="66">
        <v>41943</v>
      </c>
      <c r="R1095" s="7">
        <f>Q1095-P1095</f>
        <v>2097</v>
      </c>
      <c r="S1095" s="470" t="s">
        <v>2394</v>
      </c>
      <c r="T1095" s="243"/>
      <c r="U1095" s="19"/>
      <c r="V1095" s="19"/>
      <c r="W1095" s="2"/>
      <c r="X1095" s="19"/>
      <c r="Y1095" s="19"/>
      <c r="Z1095" s="19"/>
      <c r="AA1095" s="19"/>
      <c r="AB1095" s="19"/>
      <c r="AC1095" s="19"/>
      <c r="AD1095" s="19"/>
      <c r="AE1095" s="19"/>
      <c r="AF1095" s="19"/>
      <c r="AG1095" s="19"/>
      <c r="AH1095" s="19"/>
      <c r="AI1095" s="19"/>
      <c r="AJ1095" s="19"/>
      <c r="AK1095" s="19"/>
      <c r="AL1095" s="19"/>
      <c r="AM1095" s="19"/>
      <c r="AN1095" s="19"/>
      <c r="AO1095" s="19"/>
      <c r="AP1095" s="19"/>
      <c r="AQ1095" s="19"/>
      <c r="AR1095" s="19"/>
      <c r="AS1095" s="19"/>
      <c r="AT1095" s="19"/>
      <c r="AU1095" s="19"/>
      <c r="AV1095" s="19"/>
      <c r="AW1095" s="19"/>
      <c r="AX1095" s="19"/>
      <c r="AY1095" s="218"/>
      <c r="AZ1095" s="5"/>
      <c r="BA1095" s="19"/>
      <c r="BB1095" s="19"/>
      <c r="BC1095" s="19"/>
      <c r="BD1095" s="19"/>
      <c r="BE1095" s="19"/>
      <c r="BF1095" s="19"/>
      <c r="BG1095" s="19"/>
      <c r="BH1095" s="19"/>
      <c r="BI1095" s="19"/>
      <c r="BJ1095" s="19"/>
      <c r="BK1095" s="19"/>
      <c r="BL1095" s="19"/>
      <c r="BM1095" s="19"/>
      <c r="BN1095" s="19"/>
      <c r="BO1095" s="19"/>
      <c r="BP1095" s="19"/>
      <c r="BQ1095" s="19"/>
      <c r="BR1095" s="19"/>
      <c r="BS1095" s="19"/>
      <c r="BT1095" s="19"/>
      <c r="BU1095" s="19"/>
      <c r="BV1095" s="19"/>
      <c r="BW1095" s="19"/>
      <c r="BX1095" s="19"/>
      <c r="BY1095" s="19"/>
      <c r="BZ1095" s="19"/>
      <c r="CA1095" s="19"/>
      <c r="CB1095" s="19"/>
      <c r="CC1095" s="19"/>
      <c r="CD1095" s="19"/>
      <c r="CE1095" s="19"/>
      <c r="CF1095" s="19"/>
      <c r="CG1095" s="19"/>
      <c r="CH1095" s="26"/>
      <c r="CI1095" s="19"/>
      <c r="CJ1095" s="19"/>
      <c r="CK1095" s="19"/>
      <c r="CL1095" s="19"/>
    </row>
    <row r="1096" spans="1:90" s="13" customFormat="1" ht="12" customHeight="1" x14ac:dyDescent="0.15">
      <c r="A1096" s="242" t="s">
        <v>1788</v>
      </c>
      <c r="B1096" s="470"/>
      <c r="C1096" s="228" t="s">
        <v>3944</v>
      </c>
      <c r="D1096" s="277">
        <f>99+5333+4472+2263+561+99+99+65+871+30</f>
        <v>13892</v>
      </c>
      <c r="E1096" s="7"/>
      <c r="F1096" s="470" t="s">
        <v>2333</v>
      </c>
      <c r="G1096" s="237"/>
      <c r="H1096" s="323"/>
      <c r="I1096" s="288" t="str">
        <f t="shared" si="69"/>
        <v/>
      </c>
      <c r="J1096" s="8"/>
      <c r="K1096" s="9"/>
      <c r="L1096" s="10"/>
      <c r="M1096" s="167"/>
      <c r="N1096" s="7" t="s">
        <v>1259</v>
      </c>
      <c r="O1096" s="9"/>
      <c r="P1096" s="66">
        <v>39512</v>
      </c>
      <c r="Q1096" s="66">
        <v>41454</v>
      </c>
      <c r="R1096" s="7">
        <f>Q1096-P1096</f>
        <v>1942</v>
      </c>
      <c r="S1096" s="470" t="s">
        <v>2394</v>
      </c>
      <c r="T1096" s="243"/>
      <c r="V1096" s="19"/>
      <c r="W1096" s="14"/>
      <c r="AY1096" s="15"/>
      <c r="AZ1096" s="6"/>
      <c r="CH1096" s="16" t="e">
        <f>IF(B1058="","",B1058-#REF!)</f>
        <v>#REF!</v>
      </c>
    </row>
    <row r="1097" spans="1:90" ht="12" customHeight="1" x14ac:dyDescent="0.15">
      <c r="A1097" s="522" t="s">
        <v>4518</v>
      </c>
      <c r="B1097" s="470"/>
      <c r="C1097" s="457" t="s">
        <v>2276</v>
      </c>
      <c r="D1097" s="277">
        <f>12540+0+513</f>
        <v>13053</v>
      </c>
      <c r="F1097" s="470" t="s">
        <v>2221</v>
      </c>
      <c r="G1097" s="237">
        <v>1</v>
      </c>
      <c r="H1097" s="323">
        <v>5</v>
      </c>
      <c r="I1097" s="288">
        <f t="shared" si="69"/>
        <v>0.2</v>
      </c>
      <c r="J1097" s="8"/>
      <c r="K1097" s="9"/>
      <c r="M1097" s="167"/>
      <c r="N1097" s="7" t="s">
        <v>51</v>
      </c>
      <c r="O1097" s="9"/>
      <c r="P1097" s="66">
        <v>39938</v>
      </c>
      <c r="Q1097" s="66">
        <v>41791</v>
      </c>
      <c r="R1097" s="7">
        <f>Q1097-P1097</f>
        <v>1853</v>
      </c>
      <c r="S1097" s="470" t="s">
        <v>2394</v>
      </c>
      <c r="T1097" s="243"/>
    </row>
    <row r="1098" spans="1:90" s="13" customFormat="1" ht="12" customHeight="1" x14ac:dyDescent="0.15">
      <c r="A1098" s="522" t="s">
        <v>4656</v>
      </c>
      <c r="B1098" s="470"/>
      <c r="C1098" s="228" t="s">
        <v>3937</v>
      </c>
      <c r="D1098" s="277">
        <f>12088+99+99+99</f>
        <v>12385</v>
      </c>
      <c r="E1098" s="7"/>
      <c r="F1098" s="470" t="s">
        <v>866</v>
      </c>
      <c r="G1098" s="237">
        <v>0</v>
      </c>
      <c r="H1098" s="323">
        <v>1</v>
      </c>
      <c r="I1098" s="288">
        <v>0.01</v>
      </c>
      <c r="J1098" s="8"/>
      <c r="K1098" s="9"/>
      <c r="L1098" s="10"/>
      <c r="M1098" s="167"/>
      <c r="N1098" s="7"/>
      <c r="O1098" s="346"/>
      <c r="P1098" s="66"/>
      <c r="Q1098" s="66"/>
      <c r="R1098" s="7"/>
      <c r="S1098" s="237"/>
      <c r="T1098" s="243"/>
      <c r="U1098" s="19"/>
      <c r="V1098" s="19"/>
      <c r="W1098" s="14"/>
      <c r="AY1098" s="15"/>
      <c r="AZ1098" s="6"/>
      <c r="CH1098" s="16">
        <f>IF(B1060="","",B1060-B1081)</f>
        <v>2</v>
      </c>
    </row>
    <row r="1099" spans="1:90" s="13" customFormat="1" ht="12" customHeight="1" x14ac:dyDescent="0.15">
      <c r="A1099" s="522" t="s">
        <v>4829</v>
      </c>
      <c r="B1099" s="470"/>
      <c r="C1099" s="470" t="s">
        <v>2484</v>
      </c>
      <c r="D1099" s="277">
        <v>12060</v>
      </c>
      <c r="E1099" s="7"/>
      <c r="F1099" s="470" t="s">
        <v>1211</v>
      </c>
      <c r="G1099" s="237"/>
      <c r="H1099" s="323"/>
      <c r="I1099" s="288" t="str">
        <f t="shared" ref="I1099:I1145" si="71">IF(G1099="","",G1099/H1099)</f>
        <v/>
      </c>
      <c r="J1099" s="8"/>
      <c r="K1099" s="23"/>
      <c r="L1099" s="10"/>
      <c r="M1099" s="167"/>
      <c r="N1099" s="7"/>
      <c r="O1099" s="346"/>
      <c r="P1099" s="66"/>
      <c r="Q1099" s="66"/>
      <c r="R1099" s="7"/>
      <c r="S1099" s="237"/>
      <c r="T1099" s="243"/>
      <c r="V1099" s="19"/>
      <c r="W1099" s="14"/>
      <c r="AY1099" s="15"/>
      <c r="AZ1099" s="6"/>
      <c r="CH1099" s="16" t="e">
        <f>IF(B1077="","",B1077-#REF!)</f>
        <v>#REF!</v>
      </c>
    </row>
    <row r="1100" spans="1:90" s="13" customFormat="1" ht="12" customHeight="1" x14ac:dyDescent="0.15">
      <c r="A1100" s="242" t="s">
        <v>2166</v>
      </c>
      <c r="B1100" s="470"/>
      <c r="C1100" s="457" t="s">
        <v>3629</v>
      </c>
      <c r="D1100" s="277">
        <v>10890</v>
      </c>
      <c r="E1100" s="18"/>
      <c r="F1100" s="470" t="s">
        <v>1982</v>
      </c>
      <c r="G1100" s="237">
        <v>3</v>
      </c>
      <c r="H1100" s="323">
        <v>5</v>
      </c>
      <c r="I1100" s="288">
        <f t="shared" si="71"/>
        <v>0.6</v>
      </c>
      <c r="J1100" s="27"/>
      <c r="K1100" s="23"/>
      <c r="L1100" s="10"/>
      <c r="M1100" s="167"/>
      <c r="N1100" s="7"/>
      <c r="O1100" s="346"/>
      <c r="P1100" s="66"/>
      <c r="Q1100" s="66"/>
      <c r="R1100" s="7"/>
      <c r="S1100" s="237"/>
      <c r="T1100" s="243"/>
      <c r="W1100" s="2"/>
      <c r="X1100" s="19"/>
      <c r="Y1100" s="19"/>
      <c r="Z1100" s="19"/>
      <c r="AA1100" s="19"/>
      <c r="AB1100" s="19"/>
      <c r="AC1100" s="19"/>
      <c r="AD1100" s="19"/>
      <c r="AE1100" s="19"/>
      <c r="AF1100" s="19"/>
      <c r="AG1100" s="19"/>
      <c r="AH1100" s="19"/>
      <c r="AI1100" s="19"/>
      <c r="AJ1100" s="19"/>
      <c r="AK1100" s="19"/>
      <c r="AL1100" s="19"/>
      <c r="AM1100" s="19"/>
      <c r="AN1100" s="19"/>
      <c r="AO1100" s="19"/>
      <c r="AP1100" s="19"/>
      <c r="AQ1100" s="19"/>
      <c r="AR1100" s="19"/>
      <c r="AS1100" s="19"/>
      <c r="AT1100" s="19"/>
      <c r="AU1100" s="19"/>
      <c r="AV1100" s="19"/>
      <c r="AW1100" s="19"/>
      <c r="AX1100" s="19"/>
      <c r="AY1100" s="218"/>
      <c r="AZ1100" s="5"/>
      <c r="BA1100" s="19"/>
      <c r="BB1100" s="19"/>
      <c r="BC1100" s="19"/>
      <c r="BD1100" s="19"/>
      <c r="BE1100" s="19"/>
      <c r="BF1100" s="19"/>
      <c r="BG1100" s="19"/>
      <c r="BH1100" s="19"/>
      <c r="BI1100" s="19"/>
      <c r="BJ1100" s="19"/>
      <c r="BK1100" s="19"/>
      <c r="BL1100" s="19"/>
      <c r="BM1100" s="19"/>
      <c r="BN1100" s="19"/>
      <c r="BO1100" s="19"/>
      <c r="BP1100" s="19"/>
      <c r="BQ1100" s="19"/>
      <c r="BR1100" s="19"/>
      <c r="BS1100" s="19"/>
      <c r="BT1100" s="19"/>
      <c r="BU1100" s="19"/>
      <c r="BV1100" s="19"/>
      <c r="BW1100" s="19"/>
      <c r="BX1100" s="19"/>
      <c r="BY1100" s="19"/>
      <c r="BZ1100" s="19"/>
      <c r="CA1100" s="19"/>
      <c r="CB1100" s="19"/>
      <c r="CC1100" s="19"/>
      <c r="CD1100" s="19"/>
      <c r="CE1100" s="19"/>
      <c r="CF1100" s="19"/>
      <c r="CG1100" s="19"/>
      <c r="CH1100" s="26"/>
      <c r="CI1100" s="19"/>
      <c r="CJ1100" s="19"/>
      <c r="CK1100" s="19"/>
      <c r="CL1100" s="19"/>
    </row>
    <row r="1101" spans="1:90" ht="12" customHeight="1" x14ac:dyDescent="0.15">
      <c r="A1101" s="242" t="s">
        <v>2155</v>
      </c>
      <c r="B1101" s="470"/>
      <c r="C1101" s="522" t="s">
        <v>3941</v>
      </c>
      <c r="D1101" s="277">
        <v>9683</v>
      </c>
      <c r="E1101" s="7"/>
      <c r="F1101" s="470" t="s">
        <v>788</v>
      </c>
      <c r="G1101" s="237">
        <v>5</v>
      </c>
      <c r="H1101" s="323">
        <v>49</v>
      </c>
      <c r="I1101" s="288">
        <f t="shared" si="71"/>
        <v>0.10204081632653061</v>
      </c>
      <c r="L1101" s="10"/>
      <c r="M1101" s="167"/>
      <c r="N1101" s="7"/>
      <c r="O1101" s="346"/>
      <c r="P1101" s="66"/>
      <c r="Q1101" s="66"/>
      <c r="R1101" s="7"/>
      <c r="S1101" s="237"/>
      <c r="T1101" s="243"/>
      <c r="U1101" s="13"/>
      <c r="W1101" s="14"/>
      <c r="X1101" s="13"/>
      <c r="Y1101" s="13"/>
      <c r="Z1101" s="13"/>
      <c r="AA1101" s="13"/>
      <c r="AB1101" s="13"/>
      <c r="AC1101" s="13"/>
      <c r="AD1101" s="13"/>
      <c r="AE1101" s="13"/>
      <c r="AF1101" s="13"/>
      <c r="AG1101" s="13"/>
      <c r="AH1101" s="13"/>
      <c r="AI1101" s="13"/>
      <c r="AJ1101" s="13"/>
      <c r="AK1101" s="13"/>
      <c r="AL1101" s="13"/>
      <c r="AM1101" s="13"/>
      <c r="AN1101" s="13"/>
      <c r="AO1101" s="13"/>
      <c r="AP1101" s="13"/>
      <c r="AQ1101" s="13"/>
      <c r="AR1101" s="13"/>
      <c r="AS1101" s="13"/>
      <c r="AT1101" s="13"/>
      <c r="AU1101" s="13"/>
      <c r="AV1101" s="13"/>
      <c r="AW1101" s="13"/>
      <c r="AX1101" s="13"/>
      <c r="AY1101" s="15"/>
      <c r="AZ1101" s="6"/>
      <c r="BA1101" s="13"/>
      <c r="BB1101" s="13"/>
      <c r="BC1101" s="13"/>
      <c r="BD1101" s="13"/>
      <c r="BE1101" s="13"/>
      <c r="BF1101" s="13"/>
      <c r="BG1101" s="13"/>
      <c r="BH1101" s="13"/>
      <c r="BI1101" s="13"/>
      <c r="BJ1101" s="13"/>
      <c r="BK1101" s="13"/>
      <c r="BL1101" s="13"/>
      <c r="BM1101" s="13"/>
      <c r="BN1101" s="13"/>
      <c r="BO1101" s="13"/>
      <c r="BP1101" s="13"/>
      <c r="BQ1101" s="13"/>
      <c r="BR1101" s="13"/>
      <c r="BS1101" s="13"/>
      <c r="BT1101" s="13"/>
      <c r="BU1101" s="13"/>
      <c r="BV1101" s="13"/>
      <c r="BW1101" s="13"/>
      <c r="BX1101" s="13"/>
      <c r="BY1101" s="13"/>
      <c r="BZ1101" s="13"/>
      <c r="CA1101" s="13"/>
      <c r="CB1101" s="13"/>
      <c r="CC1101" s="13"/>
      <c r="CD1101" s="13"/>
      <c r="CE1101" s="13"/>
      <c r="CF1101" s="13"/>
      <c r="CG1101" s="13"/>
      <c r="CH1101" s="16" t="e">
        <f>IF(B1079="","",B1079-#REF!)</f>
        <v>#REF!</v>
      </c>
      <c r="CI1101" s="13"/>
      <c r="CJ1101" s="13"/>
      <c r="CK1101" s="13"/>
      <c r="CL1101" s="13"/>
    </row>
    <row r="1102" spans="1:90" ht="12" customHeight="1" x14ac:dyDescent="0.15">
      <c r="A1102" s="242"/>
      <c r="B1102" s="470"/>
      <c r="C1102" s="470"/>
      <c r="D1102" s="277"/>
      <c r="F1102" s="470" t="s">
        <v>2362</v>
      </c>
      <c r="G1102" s="237"/>
      <c r="H1102" s="323"/>
      <c r="I1102" s="288" t="str">
        <f t="shared" si="71"/>
        <v/>
      </c>
      <c r="K1102" s="9"/>
      <c r="L1102" s="10"/>
      <c r="M1102" s="277"/>
      <c r="N1102" s="345" t="s">
        <v>2392</v>
      </c>
      <c r="P1102" s="23"/>
      <c r="Q1102" s="23"/>
      <c r="R1102" s="23"/>
      <c r="S1102" s="18"/>
      <c r="T1102" s="243"/>
      <c r="U1102" s="13"/>
      <c r="V1102" s="13"/>
    </row>
    <row r="1103" spans="1:90" ht="12" customHeight="1" x14ac:dyDescent="0.15">
      <c r="A1103" s="242"/>
      <c r="B1103" s="470"/>
      <c r="C1103" s="470"/>
      <c r="D1103" s="277"/>
      <c r="F1103" s="470" t="s">
        <v>2318</v>
      </c>
      <c r="G1103" s="237">
        <v>0</v>
      </c>
      <c r="H1103" s="323">
        <v>2</v>
      </c>
      <c r="I1103" s="288">
        <f t="shared" si="71"/>
        <v>0</v>
      </c>
      <c r="J1103" s="8"/>
      <c r="M1103" s="277"/>
      <c r="N1103" s="343"/>
      <c r="O1103" s="346"/>
      <c r="P1103" s="343" t="s">
        <v>845</v>
      </c>
      <c r="Q1103" s="343" t="s">
        <v>2385</v>
      </c>
      <c r="R1103" s="343" t="s">
        <v>2387</v>
      </c>
      <c r="S1103" s="343" t="s">
        <v>2386</v>
      </c>
      <c r="T1103" s="243"/>
      <c r="U1103" s="13"/>
      <c r="V1103" s="13"/>
    </row>
    <row r="1104" spans="1:90" ht="12" customHeight="1" x14ac:dyDescent="0.15">
      <c r="A1104" s="242"/>
      <c r="B1104" s="470"/>
      <c r="C1104" s="345" t="s">
        <v>3407</v>
      </c>
      <c r="D1104" s="243"/>
      <c r="F1104" s="470" t="s">
        <v>2360</v>
      </c>
      <c r="G1104" s="237"/>
      <c r="H1104" s="323"/>
      <c r="I1104" s="288" t="str">
        <f t="shared" si="71"/>
        <v/>
      </c>
      <c r="K1104" s="9"/>
      <c r="M1104" s="344">
        <v>1</v>
      </c>
      <c r="N1104" s="7" t="s">
        <v>3204</v>
      </c>
      <c r="O1104" s="346"/>
      <c r="P1104" s="66">
        <v>41380</v>
      </c>
      <c r="Q1104" s="66">
        <v>42133</v>
      </c>
      <c r="R1104" s="7">
        <f>Q1104-P1104</f>
        <v>753</v>
      </c>
      <c r="S1104" s="470"/>
      <c r="T1104" s="243"/>
      <c r="U1104" s="13"/>
    </row>
    <row r="1105" spans="1:90" s="13" customFormat="1" ht="12" customHeight="1" x14ac:dyDescent="0.15">
      <c r="A1105" s="242"/>
      <c r="B1105" s="470"/>
      <c r="C1105" s="242" t="s">
        <v>4570</v>
      </c>
      <c r="D1105" s="470">
        <v>4</v>
      </c>
      <c r="E1105" s="18"/>
      <c r="F1105" s="470" t="s">
        <v>775</v>
      </c>
      <c r="G1105" s="237">
        <v>2</v>
      </c>
      <c r="H1105" s="323">
        <v>12</v>
      </c>
      <c r="I1105" s="288">
        <f t="shared" si="71"/>
        <v>0.16666666666666666</v>
      </c>
      <c r="J1105" s="8"/>
      <c r="K1105" s="9"/>
      <c r="L1105" s="10"/>
      <c r="M1105" s="344">
        <v>2</v>
      </c>
      <c r="N1105" s="522" t="s">
        <v>3834</v>
      </c>
      <c r="O1105" s="346"/>
      <c r="P1105" s="66">
        <v>41195</v>
      </c>
      <c r="Q1105" s="66">
        <v>41980</v>
      </c>
      <c r="R1105" s="7">
        <f>Q1105-P1105</f>
        <v>785</v>
      </c>
      <c r="S1105" s="470"/>
      <c r="T1105" s="243"/>
      <c r="U1105" s="19"/>
      <c r="W1105" s="2"/>
      <c r="X1105" s="19"/>
      <c r="Y1105" s="19"/>
      <c r="Z1105" s="19"/>
      <c r="AA1105" s="19"/>
      <c r="AB1105" s="19"/>
      <c r="AC1105" s="19"/>
      <c r="AD1105" s="19"/>
      <c r="AE1105" s="19"/>
      <c r="AF1105" s="19"/>
      <c r="AG1105" s="19"/>
      <c r="AH1105" s="19"/>
      <c r="AI1105" s="19"/>
      <c r="AJ1105" s="19"/>
      <c r="AK1105" s="19"/>
      <c r="AL1105" s="19"/>
      <c r="AM1105" s="19"/>
      <c r="AN1105" s="19"/>
      <c r="AO1105" s="19"/>
      <c r="AP1105" s="19"/>
      <c r="AQ1105" s="19"/>
      <c r="AR1105" s="19"/>
      <c r="AS1105" s="19"/>
      <c r="AT1105" s="19"/>
      <c r="AU1105" s="19"/>
      <c r="AV1105" s="19"/>
      <c r="AW1105" s="19"/>
      <c r="AX1105" s="19"/>
      <c r="AY1105" s="218"/>
      <c r="AZ1105" s="5"/>
      <c r="BA1105" s="19"/>
      <c r="BB1105" s="19"/>
      <c r="BC1105" s="19"/>
      <c r="BD1105" s="19"/>
      <c r="BE1105" s="19"/>
      <c r="BF1105" s="19"/>
      <c r="BG1105" s="19"/>
      <c r="BH1105" s="19"/>
      <c r="BI1105" s="19"/>
      <c r="BJ1105" s="19"/>
      <c r="BK1105" s="19"/>
      <c r="BL1105" s="19"/>
      <c r="BM1105" s="19"/>
      <c r="BN1105" s="19"/>
      <c r="BO1105" s="19"/>
      <c r="BP1105" s="19"/>
      <c r="BQ1105" s="19"/>
      <c r="BR1105" s="19"/>
      <c r="BS1105" s="19"/>
      <c r="BT1105" s="19"/>
      <c r="BU1105" s="19"/>
      <c r="BV1105" s="19"/>
      <c r="BW1105" s="19"/>
      <c r="BX1105" s="19"/>
      <c r="BY1105" s="19"/>
      <c r="BZ1105" s="19"/>
      <c r="CA1105" s="19"/>
      <c r="CB1105" s="19"/>
      <c r="CC1105" s="19"/>
      <c r="CD1105" s="19"/>
      <c r="CE1105" s="19"/>
      <c r="CF1105" s="19"/>
      <c r="CG1105" s="19"/>
      <c r="CH1105" s="26"/>
      <c r="CI1105" s="19"/>
      <c r="CJ1105" s="19"/>
      <c r="CK1105" s="19"/>
      <c r="CL1105" s="19"/>
    </row>
    <row r="1106" spans="1:90" ht="12" customHeight="1" x14ac:dyDescent="0.15">
      <c r="A1106" s="242"/>
      <c r="B1106" s="470"/>
      <c r="C1106" s="242" t="s">
        <v>21</v>
      </c>
      <c r="D1106" s="470">
        <v>3</v>
      </c>
      <c r="E1106" s="7"/>
      <c r="F1106" s="470" t="s">
        <v>3089</v>
      </c>
      <c r="G1106" s="237">
        <v>2</v>
      </c>
      <c r="H1106" s="323">
        <v>3</v>
      </c>
      <c r="I1106" s="288">
        <f t="shared" si="71"/>
        <v>0.66666666666666663</v>
      </c>
      <c r="J1106" s="8"/>
      <c r="K1106" s="9"/>
      <c r="L1106" s="10"/>
      <c r="M1106" s="344">
        <v>3</v>
      </c>
      <c r="N1106" s="7" t="s">
        <v>88</v>
      </c>
      <c r="O1106" s="346"/>
      <c r="P1106" s="66">
        <v>39906</v>
      </c>
      <c r="Q1106" s="66">
        <v>40706</v>
      </c>
      <c r="R1106" s="7">
        <f>Q1106-P1106</f>
        <v>800</v>
      </c>
      <c r="S1106" s="470"/>
      <c r="T1106" s="243"/>
      <c r="W1106" s="14"/>
      <c r="X1106" s="13"/>
      <c r="Y1106" s="13"/>
      <c r="Z1106" s="13"/>
      <c r="AA1106" s="13"/>
      <c r="AB1106" s="13"/>
      <c r="AC1106" s="13"/>
      <c r="AD1106" s="13"/>
      <c r="AE1106" s="13"/>
      <c r="AF1106" s="13"/>
      <c r="AG1106" s="13"/>
      <c r="AH1106" s="13"/>
      <c r="AI1106" s="13"/>
      <c r="AJ1106" s="13"/>
      <c r="AK1106" s="13"/>
      <c r="AL1106" s="13"/>
      <c r="AM1106" s="13"/>
      <c r="AN1106" s="13"/>
      <c r="AO1106" s="13"/>
      <c r="AP1106" s="13"/>
      <c r="AQ1106" s="13"/>
      <c r="AR1106" s="13"/>
      <c r="AS1106" s="13"/>
      <c r="AT1106" s="13"/>
      <c r="AU1106" s="13"/>
      <c r="AV1106" s="13"/>
      <c r="AW1106" s="13"/>
      <c r="AX1106" s="13"/>
      <c r="AY1106" s="15"/>
      <c r="AZ1106" s="6"/>
      <c r="BA1106" s="13"/>
      <c r="BB1106" s="13"/>
      <c r="BC1106" s="13"/>
      <c r="BD1106" s="13"/>
      <c r="BE1106" s="13"/>
      <c r="BF1106" s="13"/>
      <c r="BG1106" s="13"/>
      <c r="BH1106" s="13"/>
      <c r="BI1106" s="13"/>
      <c r="BJ1106" s="13"/>
      <c r="BK1106" s="13"/>
      <c r="BL1106" s="13"/>
      <c r="BM1106" s="13"/>
      <c r="BN1106" s="13"/>
      <c r="BO1106" s="13"/>
      <c r="BP1106" s="13"/>
      <c r="BQ1106" s="13"/>
      <c r="BR1106" s="13"/>
      <c r="BS1106" s="13"/>
      <c r="BT1106" s="13"/>
      <c r="BU1106" s="13"/>
      <c r="BV1106" s="13"/>
      <c r="BW1106" s="13"/>
      <c r="BX1106" s="13"/>
      <c r="BY1106" s="13"/>
      <c r="BZ1106" s="13"/>
      <c r="CA1106" s="13"/>
      <c r="CB1106" s="13"/>
      <c r="CC1106" s="13"/>
      <c r="CD1106" s="13"/>
      <c r="CE1106" s="13"/>
      <c r="CF1106" s="13"/>
      <c r="CG1106" s="13"/>
      <c r="CH1106" s="16" t="str">
        <f>IF(B1106="","",B1106-B1054)</f>
        <v/>
      </c>
      <c r="CI1106" s="13"/>
      <c r="CJ1106" s="13"/>
      <c r="CK1106" s="13"/>
      <c r="CL1106" s="13"/>
    </row>
    <row r="1107" spans="1:90" ht="12" customHeight="1" x14ac:dyDescent="0.15">
      <c r="A1107" s="242"/>
      <c r="B1107" s="470"/>
      <c r="C1107" s="242" t="s">
        <v>2355</v>
      </c>
      <c r="D1107" s="470">
        <v>2</v>
      </c>
      <c r="F1107" s="470" t="s">
        <v>966</v>
      </c>
      <c r="G1107" s="237"/>
      <c r="H1107" s="323"/>
      <c r="I1107" s="288" t="str">
        <f t="shared" si="71"/>
        <v/>
      </c>
      <c r="J1107" s="8"/>
      <c r="K1107" s="9"/>
      <c r="M1107" s="344">
        <v>4</v>
      </c>
      <c r="N1107" s="7" t="s">
        <v>2459</v>
      </c>
      <c r="O1107" s="346"/>
      <c r="P1107" s="66">
        <v>41394</v>
      </c>
      <c r="Q1107" s="66">
        <v>42196</v>
      </c>
      <c r="R1107" s="7">
        <f>Q1107-P1107</f>
        <v>802</v>
      </c>
      <c r="S1107" s="470"/>
      <c r="T1107" s="243"/>
    </row>
    <row r="1108" spans="1:90" s="13" customFormat="1" ht="12" customHeight="1" x14ac:dyDescent="0.15">
      <c r="A1108" s="242"/>
      <c r="B1108" s="470"/>
      <c r="C1108" s="242" t="s">
        <v>2170</v>
      </c>
      <c r="D1108" s="470">
        <v>2</v>
      </c>
      <c r="E1108" s="18"/>
      <c r="F1108" s="470" t="s">
        <v>2275</v>
      </c>
      <c r="G1108" s="237"/>
      <c r="H1108" s="323"/>
      <c r="I1108" s="288" t="str">
        <f t="shared" si="71"/>
        <v/>
      </c>
      <c r="J1108" s="8"/>
      <c r="K1108" s="9"/>
      <c r="L1108" s="215"/>
      <c r="M1108" s="344">
        <v>5</v>
      </c>
      <c r="N1108" s="7" t="s">
        <v>1314</v>
      </c>
      <c r="O1108" s="346"/>
      <c r="P1108" s="66">
        <v>39559</v>
      </c>
      <c r="Q1108" s="66">
        <v>40380</v>
      </c>
      <c r="R1108" s="7">
        <f t="shared" ref="R1108:R1111" si="72">Q1108-P1108</f>
        <v>821</v>
      </c>
      <c r="S1108" s="470"/>
      <c r="T1108" s="243"/>
      <c r="U1108" s="19"/>
      <c r="V1108" s="19"/>
      <c r="W1108" s="2"/>
      <c r="X1108" s="19"/>
      <c r="Y1108" s="19"/>
      <c r="Z1108" s="19"/>
      <c r="AA1108" s="19"/>
      <c r="AB1108" s="19"/>
      <c r="AC1108" s="19"/>
      <c r="AD1108" s="19"/>
      <c r="AE1108" s="19"/>
      <c r="AF1108" s="19"/>
      <c r="AG1108" s="19"/>
      <c r="AH1108" s="19"/>
      <c r="AI1108" s="19"/>
      <c r="AJ1108" s="19"/>
      <c r="AK1108" s="19"/>
      <c r="AL1108" s="19"/>
      <c r="AM1108" s="19"/>
      <c r="AN1108" s="19"/>
      <c r="AO1108" s="19"/>
      <c r="AP1108" s="19"/>
      <c r="AQ1108" s="19"/>
      <c r="AR1108" s="19"/>
      <c r="AS1108" s="19"/>
      <c r="AT1108" s="19"/>
      <c r="AU1108" s="19"/>
      <c r="AV1108" s="19"/>
      <c r="AW1108" s="19"/>
      <c r="AX1108" s="19"/>
      <c r="AY1108" s="218"/>
      <c r="AZ1108" s="5"/>
      <c r="BA1108" s="19"/>
      <c r="BB1108" s="19"/>
      <c r="BC1108" s="19"/>
      <c r="BD1108" s="19"/>
      <c r="BE1108" s="19"/>
      <c r="BF1108" s="19"/>
      <c r="BG1108" s="19"/>
      <c r="BH1108" s="19"/>
      <c r="BI1108" s="19"/>
      <c r="BJ1108" s="19"/>
      <c r="BK1108" s="19"/>
      <c r="BL1108" s="19"/>
      <c r="BM1108" s="19"/>
      <c r="BN1108" s="19"/>
      <c r="BO1108" s="19"/>
      <c r="BP1108" s="19"/>
      <c r="BQ1108" s="19"/>
      <c r="BR1108" s="19"/>
      <c r="BS1108" s="19"/>
      <c r="BT1108" s="19"/>
      <c r="BU1108" s="19"/>
      <c r="BV1108" s="19"/>
      <c r="BW1108" s="19"/>
      <c r="BX1108" s="19"/>
      <c r="BY1108" s="19"/>
      <c r="BZ1108" s="19"/>
      <c r="CA1108" s="19"/>
      <c r="CB1108" s="19"/>
      <c r="CC1108" s="19"/>
      <c r="CD1108" s="19"/>
      <c r="CE1108" s="19"/>
      <c r="CF1108" s="19"/>
      <c r="CG1108" s="19"/>
      <c r="CH1108" s="26"/>
      <c r="CI1108" s="19"/>
      <c r="CJ1108" s="19"/>
      <c r="CK1108" s="19"/>
      <c r="CL1108" s="19"/>
    </row>
    <row r="1109" spans="1:90" s="13" customFormat="1" ht="12" customHeight="1" x14ac:dyDescent="0.15">
      <c r="A1109" s="242"/>
      <c r="B1109" s="470"/>
      <c r="C1109" s="242" t="s">
        <v>1294</v>
      </c>
      <c r="D1109" s="470"/>
      <c r="E1109" s="7"/>
      <c r="F1109" s="470" t="s">
        <v>3300</v>
      </c>
      <c r="G1109" s="237">
        <v>2</v>
      </c>
      <c r="H1109" s="323">
        <v>16</v>
      </c>
      <c r="I1109" s="288">
        <f t="shared" si="71"/>
        <v>0.125</v>
      </c>
      <c r="J1109" s="8"/>
      <c r="K1109" s="23"/>
      <c r="L1109" s="10"/>
      <c r="M1109" s="344">
        <v>6</v>
      </c>
      <c r="N1109" s="7" t="s">
        <v>1282</v>
      </c>
      <c r="O1109" s="346"/>
      <c r="P1109" s="66">
        <v>39528</v>
      </c>
      <c r="Q1109" s="66">
        <v>40359</v>
      </c>
      <c r="R1109" s="7">
        <f t="shared" si="72"/>
        <v>831</v>
      </c>
      <c r="S1109" s="470"/>
      <c r="T1109" s="243"/>
      <c r="U1109" s="19"/>
      <c r="V1109" s="19"/>
      <c r="W1109" s="14"/>
      <c r="AY1109" s="15"/>
      <c r="AZ1109" s="6"/>
      <c r="CH1109" s="16" t="str">
        <f>IF(B1109="","",B1109-#REF!)</f>
        <v/>
      </c>
    </row>
    <row r="1110" spans="1:90" s="13" customFormat="1" ht="12" customHeight="1" x14ac:dyDescent="0.15">
      <c r="A1110" s="345" t="s">
        <v>3712</v>
      </c>
      <c r="B1110" s="470"/>
      <c r="C1110" s="242" t="s">
        <v>321</v>
      </c>
      <c r="D1110" s="470"/>
      <c r="E1110" s="7"/>
      <c r="F1110" s="470" t="s">
        <v>2377</v>
      </c>
      <c r="G1110" s="237">
        <v>1</v>
      </c>
      <c r="H1110" s="323">
        <v>13</v>
      </c>
      <c r="I1110" s="288">
        <f t="shared" si="71"/>
        <v>7.6923076923076927E-2</v>
      </c>
      <c r="J1110" s="27"/>
      <c r="K1110" s="23"/>
      <c r="L1110" s="10"/>
      <c r="M1110" s="344">
        <v>7</v>
      </c>
      <c r="N1110" s="7" t="s">
        <v>613</v>
      </c>
      <c r="O1110" s="346"/>
      <c r="P1110" s="66">
        <v>39158</v>
      </c>
      <c r="Q1110" s="66">
        <v>39998</v>
      </c>
      <c r="R1110" s="7">
        <f t="shared" si="72"/>
        <v>840</v>
      </c>
      <c r="S1110" s="470"/>
      <c r="U1110" s="19"/>
      <c r="W1110" s="14"/>
      <c r="AY1110" s="15"/>
      <c r="AZ1110" s="6"/>
      <c r="CH1110" s="16" t="str">
        <f>IF(D1102="","",D1102-#REF!)</f>
        <v/>
      </c>
    </row>
    <row r="1111" spans="1:90" s="13" customFormat="1" ht="12" customHeight="1" x14ac:dyDescent="0.15">
      <c r="A1111" s="522" t="s">
        <v>3496</v>
      </c>
      <c r="B1111" s="470"/>
      <c r="C1111" s="242" t="s">
        <v>1831</v>
      </c>
      <c r="D1111" s="470"/>
      <c r="E1111" s="7"/>
      <c r="F1111" s="470" t="s">
        <v>1307</v>
      </c>
      <c r="G1111" s="237"/>
      <c r="H1111" s="323"/>
      <c r="I1111" s="288" t="str">
        <f t="shared" si="71"/>
        <v/>
      </c>
      <c r="J1111" s="27"/>
      <c r="K1111" s="23"/>
      <c r="L1111" s="10"/>
      <c r="M1111" s="344">
        <v>7</v>
      </c>
      <c r="N1111" s="7" t="s">
        <v>2484</v>
      </c>
      <c r="O1111" s="346"/>
      <c r="P1111" s="66">
        <v>41769</v>
      </c>
      <c r="Q1111" s="66">
        <v>42609</v>
      </c>
      <c r="R1111" s="7">
        <f t="shared" si="72"/>
        <v>840</v>
      </c>
      <c r="S1111" s="470"/>
      <c r="T1111" s="18"/>
      <c r="U1111" s="19"/>
      <c r="V1111" s="19"/>
      <c r="W1111" s="14"/>
      <c r="AY1111" s="15"/>
      <c r="AZ1111" s="6"/>
      <c r="CH1111" s="16"/>
    </row>
    <row r="1112" spans="1:90" s="13" customFormat="1" ht="12" customHeight="1" x14ac:dyDescent="0.15">
      <c r="A1112" s="522" t="s">
        <v>3825</v>
      </c>
      <c r="B1112" s="526"/>
      <c r="C1112" s="242" t="s">
        <v>2155</v>
      </c>
      <c r="D1112" s="470"/>
      <c r="E1112" s="7"/>
      <c r="F1112" s="470" t="s">
        <v>439</v>
      </c>
      <c r="G1112" s="237">
        <v>1</v>
      </c>
      <c r="H1112" s="323">
        <v>7</v>
      </c>
      <c r="I1112" s="288">
        <f t="shared" si="71"/>
        <v>0.14285714285714285</v>
      </c>
      <c r="J1112" s="27"/>
      <c r="K1112" s="23"/>
      <c r="L1112" s="10"/>
      <c r="M1112" s="344">
        <v>9</v>
      </c>
      <c r="N1112" s="7" t="s">
        <v>822</v>
      </c>
      <c r="O1112" s="346"/>
      <c r="P1112" s="66">
        <v>38797</v>
      </c>
      <c r="Q1112" s="66">
        <v>39640</v>
      </c>
      <c r="R1112" s="7">
        <f t="shared" ref="R1112:R1122" si="73">Q1112-P1112</f>
        <v>843</v>
      </c>
      <c r="S1112" s="470"/>
      <c r="T1112" s="286"/>
      <c r="U1112" s="19"/>
      <c r="V1112" s="19"/>
      <c r="W1112" s="14"/>
      <c r="AY1112" s="15"/>
      <c r="AZ1112" s="6"/>
      <c r="CH1112" s="16"/>
    </row>
    <row r="1113" spans="1:90" s="13" customFormat="1" ht="12" customHeight="1" x14ac:dyDescent="0.15">
      <c r="A1113" s="522" t="s">
        <v>3903</v>
      </c>
      <c r="B1113" s="470"/>
      <c r="C1113" s="242" t="s">
        <v>1295</v>
      </c>
      <c r="D1113" s="470"/>
      <c r="E1113" s="7"/>
      <c r="F1113" s="470" t="s">
        <v>2212</v>
      </c>
      <c r="G1113" s="237">
        <v>4</v>
      </c>
      <c r="H1113" s="323">
        <v>9</v>
      </c>
      <c r="I1113" s="288">
        <f t="shared" si="71"/>
        <v>0.44444444444444442</v>
      </c>
      <c r="J1113" s="27"/>
      <c r="K1113" s="23"/>
      <c r="L1113" s="10"/>
      <c r="M1113" s="344">
        <v>10</v>
      </c>
      <c r="N1113" s="7" t="s">
        <v>345</v>
      </c>
      <c r="O1113" s="346"/>
      <c r="P1113" s="66">
        <v>39922</v>
      </c>
      <c r="Q1113" s="66">
        <v>40774</v>
      </c>
      <c r="R1113" s="7">
        <f t="shared" si="73"/>
        <v>852</v>
      </c>
      <c r="S1113" s="470"/>
      <c r="T1113" s="314"/>
      <c r="U1113" s="19"/>
      <c r="W1113" s="14"/>
      <c r="AY1113" s="15"/>
      <c r="AZ1113" s="6"/>
      <c r="CH1113" s="16"/>
    </row>
    <row r="1114" spans="1:90" s="13" customFormat="1" ht="12" customHeight="1" x14ac:dyDescent="0.15">
      <c r="A1114" s="522" t="s">
        <v>2480</v>
      </c>
      <c r="B1114" s="470"/>
      <c r="C1114" s="470" t="s">
        <v>3339</v>
      </c>
      <c r="D1114" s="277"/>
      <c r="E1114" s="7"/>
      <c r="F1114" s="470" t="s">
        <v>2219</v>
      </c>
      <c r="G1114" s="237">
        <v>9</v>
      </c>
      <c r="H1114" s="323">
        <v>68</v>
      </c>
      <c r="I1114" s="288">
        <f t="shared" si="71"/>
        <v>0.13235294117647059</v>
      </c>
      <c r="J1114" s="27"/>
      <c r="K1114" s="23"/>
      <c r="L1114" s="10"/>
      <c r="M1114" s="344">
        <v>11</v>
      </c>
      <c r="N1114" s="7" t="s">
        <v>1529</v>
      </c>
      <c r="O1114" s="346"/>
      <c r="P1114" s="66">
        <v>39938</v>
      </c>
      <c r="Q1114" s="66">
        <v>40791</v>
      </c>
      <c r="R1114" s="7">
        <f t="shared" si="73"/>
        <v>853</v>
      </c>
      <c r="S1114" s="470"/>
      <c r="T1114" s="286"/>
      <c r="U1114" s="19"/>
      <c r="W1114" s="14"/>
      <c r="AY1114" s="15"/>
      <c r="AZ1114" s="6"/>
      <c r="CH1114" s="16"/>
    </row>
    <row r="1115" spans="1:90" s="13" customFormat="1" ht="12" customHeight="1" x14ac:dyDescent="0.15">
      <c r="A1115" s="522" t="s">
        <v>3821</v>
      </c>
      <c r="B1115" s="470"/>
      <c r="C1115" s="470" t="s">
        <v>2478</v>
      </c>
      <c r="D1115" s="277"/>
      <c r="E1115" s="7"/>
      <c r="F1115" s="470" t="s">
        <v>2376</v>
      </c>
      <c r="G1115" s="237">
        <v>11</v>
      </c>
      <c r="H1115" s="323">
        <v>56</v>
      </c>
      <c r="I1115" s="288">
        <f t="shared" si="71"/>
        <v>0.19642857142857142</v>
      </c>
      <c r="J1115" s="27"/>
      <c r="K1115" s="23"/>
      <c r="L1115" s="10"/>
      <c r="M1115" s="344">
        <v>12</v>
      </c>
      <c r="N1115" s="7" t="s">
        <v>1167</v>
      </c>
      <c r="O1115" s="346"/>
      <c r="P1115" s="66">
        <v>39153</v>
      </c>
      <c r="Q1115" s="66">
        <v>40011</v>
      </c>
      <c r="R1115" s="7">
        <f t="shared" si="73"/>
        <v>858</v>
      </c>
      <c r="S1115" s="470"/>
      <c r="T1115" s="314"/>
      <c r="U1115" s="19"/>
      <c r="W1115" s="14"/>
      <c r="AY1115" s="15"/>
      <c r="AZ1115" s="6"/>
      <c r="CH1115" s="16"/>
    </row>
    <row r="1116" spans="1:90" ht="12" customHeight="1" x14ac:dyDescent="0.15">
      <c r="A1116" s="522" t="s">
        <v>3944</v>
      </c>
      <c r="B1116" s="470"/>
      <c r="C1116" s="242" t="s">
        <v>2276</v>
      </c>
      <c r="D1116" s="470"/>
      <c r="F1116" s="470" t="s">
        <v>2351</v>
      </c>
      <c r="G1116" s="237"/>
      <c r="H1116" s="323"/>
      <c r="I1116" s="288" t="str">
        <f t="shared" si="71"/>
        <v/>
      </c>
      <c r="M1116" s="344">
        <v>13</v>
      </c>
      <c r="N1116" s="7" t="s">
        <v>1172</v>
      </c>
      <c r="O1116" s="346"/>
      <c r="P1116" s="66">
        <v>39111</v>
      </c>
      <c r="Q1116" s="66">
        <v>39975</v>
      </c>
      <c r="R1116" s="7">
        <f t="shared" si="73"/>
        <v>864</v>
      </c>
      <c r="S1116" s="470"/>
      <c r="T1116" s="314"/>
      <c r="V1116" s="13"/>
    </row>
    <row r="1117" spans="1:90" ht="12" customHeight="1" x14ac:dyDescent="0.15">
      <c r="A1117" s="522" t="s">
        <v>3931</v>
      </c>
      <c r="B1117" s="243"/>
      <c r="C1117" s="242" t="s">
        <v>3099</v>
      </c>
      <c r="D1117" s="470"/>
      <c r="F1117" s="470" t="s">
        <v>1153</v>
      </c>
      <c r="G1117" s="237">
        <v>0</v>
      </c>
      <c r="H1117" s="323">
        <v>16</v>
      </c>
      <c r="I1117" s="288">
        <f t="shared" si="71"/>
        <v>0</v>
      </c>
      <c r="M1117" s="344">
        <v>14</v>
      </c>
      <c r="N1117" s="7" t="s">
        <v>375</v>
      </c>
      <c r="O1117" s="346"/>
      <c r="P1117" s="66">
        <v>39222</v>
      </c>
      <c r="Q1117" s="66">
        <v>40087</v>
      </c>
      <c r="R1117" s="7">
        <f t="shared" si="73"/>
        <v>865</v>
      </c>
      <c r="S1117" s="470"/>
      <c r="T1117" s="12"/>
      <c r="V1117" s="13"/>
    </row>
    <row r="1118" spans="1:90" ht="12" customHeight="1" x14ac:dyDescent="0.15">
      <c r="A1118" s="242" t="s">
        <v>4192</v>
      </c>
      <c r="B1118" s="243" t="s">
        <v>4193</v>
      </c>
      <c r="C1118" s="242" t="s">
        <v>3339</v>
      </c>
      <c r="D1118" s="470"/>
      <c r="F1118" s="470" t="s">
        <v>256</v>
      </c>
      <c r="G1118" s="237">
        <v>2</v>
      </c>
      <c r="H1118" s="323">
        <v>5</v>
      </c>
      <c r="I1118" s="288">
        <f t="shared" si="71"/>
        <v>0.4</v>
      </c>
      <c r="M1118" s="344">
        <v>15</v>
      </c>
      <c r="N1118" s="522" t="s">
        <v>3937</v>
      </c>
      <c r="O1118" s="346"/>
      <c r="P1118" s="66">
        <v>41568</v>
      </c>
      <c r="Q1118" s="66">
        <v>42435</v>
      </c>
      <c r="R1118" s="7">
        <f t="shared" si="73"/>
        <v>867</v>
      </c>
      <c r="S1118" s="470"/>
      <c r="T1118" s="12"/>
      <c r="V1118" s="13"/>
    </row>
    <row r="1119" spans="1:90" ht="12" customHeight="1" x14ac:dyDescent="0.15">
      <c r="A1119" s="242" t="s">
        <v>3154</v>
      </c>
      <c r="B1119" s="243" t="s">
        <v>4193</v>
      </c>
      <c r="C1119" s="242" t="s">
        <v>1943</v>
      </c>
      <c r="D1119" s="470"/>
      <c r="F1119" s="470" t="s">
        <v>2336</v>
      </c>
      <c r="G1119" s="237">
        <v>7</v>
      </c>
      <c r="H1119" s="323">
        <v>37</v>
      </c>
      <c r="I1119" s="288">
        <f t="shared" si="71"/>
        <v>0.1891891891891892</v>
      </c>
      <c r="K1119" s="9"/>
      <c r="M1119" s="344">
        <v>16</v>
      </c>
      <c r="N1119" s="7" t="s">
        <v>2401</v>
      </c>
      <c r="O1119" s="9"/>
      <c r="P1119" s="66">
        <v>41040</v>
      </c>
      <c r="Q1119" s="66">
        <v>41909</v>
      </c>
      <c r="R1119" s="7">
        <f t="shared" si="73"/>
        <v>869</v>
      </c>
      <c r="S1119" s="470"/>
    </row>
    <row r="1120" spans="1:90" x14ac:dyDescent="0.15">
      <c r="A1120" s="522" t="s">
        <v>4174</v>
      </c>
      <c r="B1120" s="243" t="s">
        <v>4193</v>
      </c>
      <c r="C1120" s="242"/>
      <c r="D1120" s="470"/>
      <c r="F1120" s="470" t="s">
        <v>2217</v>
      </c>
      <c r="G1120" s="237"/>
      <c r="H1120" s="323"/>
      <c r="I1120" s="288" t="str">
        <f t="shared" si="71"/>
        <v/>
      </c>
      <c r="J1120" s="8"/>
      <c r="M1120" s="344">
        <v>17</v>
      </c>
      <c r="N1120" s="7" t="s">
        <v>54</v>
      </c>
      <c r="O1120" s="9"/>
      <c r="P1120" s="66">
        <v>39927</v>
      </c>
      <c r="Q1120" s="66">
        <v>40799</v>
      </c>
      <c r="R1120" s="7">
        <f t="shared" si="73"/>
        <v>872</v>
      </c>
      <c r="S1120" s="470"/>
      <c r="T1120" s="12"/>
    </row>
    <row r="1121" spans="1:90" ht="12" customHeight="1" x14ac:dyDescent="0.15">
      <c r="A1121" s="522" t="s">
        <v>4002</v>
      </c>
      <c r="B1121" s="243"/>
      <c r="C1121" s="242"/>
      <c r="D1121" s="470"/>
      <c r="E1121" s="7"/>
      <c r="F1121" s="470" t="s">
        <v>1206</v>
      </c>
      <c r="G1121" s="237"/>
      <c r="H1121" s="323"/>
      <c r="I1121" s="288" t="str">
        <f t="shared" si="71"/>
        <v/>
      </c>
      <c r="K1121" s="9"/>
      <c r="L1121" s="10"/>
      <c r="M1121" s="344">
        <v>18</v>
      </c>
      <c r="N1121" s="7" t="s">
        <v>929</v>
      </c>
      <c r="O1121" s="346"/>
      <c r="P1121" s="66">
        <v>38777</v>
      </c>
      <c r="Q1121" s="66">
        <v>39649</v>
      </c>
      <c r="R1121" s="7">
        <f t="shared" si="73"/>
        <v>872</v>
      </c>
      <c r="W1121" s="14"/>
      <c r="X1121" s="13"/>
      <c r="Y1121" s="13"/>
      <c r="Z1121" s="13"/>
      <c r="AA1121" s="13"/>
      <c r="AB1121" s="13"/>
      <c r="AC1121" s="13"/>
      <c r="AD1121" s="13"/>
      <c r="AE1121" s="13"/>
      <c r="AF1121" s="13"/>
      <c r="AG1121" s="13"/>
      <c r="AH1121" s="13"/>
      <c r="AI1121" s="13"/>
      <c r="AJ1121" s="13"/>
      <c r="AK1121" s="13"/>
      <c r="AL1121" s="13"/>
      <c r="AM1121" s="13"/>
      <c r="AN1121" s="13"/>
      <c r="AO1121" s="13"/>
      <c r="AP1121" s="13"/>
      <c r="AQ1121" s="13"/>
      <c r="AR1121" s="13"/>
      <c r="AS1121" s="13"/>
      <c r="AT1121" s="13"/>
      <c r="AU1121" s="13"/>
      <c r="AV1121" s="13"/>
      <c r="AW1121" s="13"/>
      <c r="AX1121" s="13"/>
      <c r="AY1121" s="15"/>
      <c r="AZ1121" s="6"/>
      <c r="BA1121" s="13"/>
      <c r="BB1121" s="13"/>
      <c r="BC1121" s="13"/>
      <c r="BD1121" s="13"/>
      <c r="BE1121" s="13"/>
      <c r="BF1121" s="13"/>
      <c r="BG1121" s="13"/>
      <c r="BH1121" s="13"/>
      <c r="BI1121" s="13"/>
      <c r="BJ1121" s="13"/>
      <c r="BK1121" s="13"/>
      <c r="BL1121" s="13"/>
      <c r="BM1121" s="13"/>
      <c r="BN1121" s="13"/>
      <c r="BO1121" s="13"/>
      <c r="BP1121" s="13"/>
      <c r="BQ1121" s="13"/>
      <c r="BR1121" s="13"/>
      <c r="BS1121" s="13"/>
      <c r="BT1121" s="13"/>
      <c r="BU1121" s="13"/>
      <c r="BV1121" s="13"/>
      <c r="BW1121" s="13"/>
      <c r="BX1121" s="13"/>
      <c r="BY1121" s="13"/>
      <c r="BZ1121" s="13"/>
      <c r="CA1121" s="13"/>
      <c r="CB1121" s="13"/>
      <c r="CC1121" s="13"/>
      <c r="CD1121" s="13"/>
      <c r="CE1121" s="13"/>
      <c r="CF1121" s="13"/>
      <c r="CG1121" s="13"/>
      <c r="CH1121" s="16" t="str">
        <f>IF(D1113="","",D1113-#REF!)</f>
        <v/>
      </c>
      <c r="CI1121" s="13"/>
      <c r="CJ1121" s="13"/>
      <c r="CK1121" s="13"/>
      <c r="CL1121" s="13"/>
    </row>
    <row r="1122" spans="1:90" ht="13" customHeight="1" x14ac:dyDescent="0.15">
      <c r="A1122" s="522" t="s">
        <v>3937</v>
      </c>
      <c r="B1122" s="243" t="s">
        <v>4312</v>
      </c>
      <c r="C1122" s="242"/>
      <c r="D1122" s="470"/>
      <c r="F1122" s="470" t="s">
        <v>24</v>
      </c>
      <c r="G1122" s="237"/>
      <c r="H1122" s="323"/>
      <c r="I1122" s="288" t="str">
        <f t="shared" si="71"/>
        <v/>
      </c>
      <c r="J1122" s="8"/>
      <c r="M1122" s="344">
        <v>19</v>
      </c>
      <c r="N1122" s="7" t="s">
        <v>3099</v>
      </c>
      <c r="O1122" s="346"/>
      <c r="P1122" s="66">
        <v>41743</v>
      </c>
      <c r="Q1122" s="66">
        <v>42617</v>
      </c>
      <c r="R1122" s="7">
        <f t="shared" si="73"/>
        <v>874</v>
      </c>
      <c r="S1122" s="470"/>
    </row>
    <row r="1123" spans="1:90" ht="13" customHeight="1" x14ac:dyDescent="0.15">
      <c r="A1123" s="242" t="s">
        <v>2151</v>
      </c>
      <c r="B1123" s="243"/>
      <c r="C1123" s="345" t="s">
        <v>3379</v>
      </c>
      <c r="D1123" s="470"/>
      <c r="F1123" s="470" t="s">
        <v>1836</v>
      </c>
      <c r="G1123" s="237">
        <v>0</v>
      </c>
      <c r="H1123" s="323">
        <v>1</v>
      </c>
      <c r="I1123" s="288">
        <f t="shared" si="71"/>
        <v>0</v>
      </c>
      <c r="K1123" s="9"/>
      <c r="M1123" s="344">
        <v>20</v>
      </c>
      <c r="N1123" s="7" t="s">
        <v>926</v>
      </c>
      <c r="O1123" s="346"/>
      <c r="P1123" s="66">
        <v>38786</v>
      </c>
      <c r="Q1123" s="66">
        <v>39665</v>
      </c>
      <c r="R1123" s="7">
        <f t="shared" ref="R1123:R1132" si="74">Q1123-P1123</f>
        <v>879</v>
      </c>
      <c r="S1123" s="470"/>
    </row>
    <row r="1124" spans="1:90" ht="12" customHeight="1" x14ac:dyDescent="0.15">
      <c r="A1124" s="242" t="s">
        <v>2467</v>
      </c>
      <c r="B1124" s="243"/>
      <c r="C1124" s="531" t="s">
        <v>831</v>
      </c>
      <c r="D1124" s="532">
        <v>100</v>
      </c>
      <c r="F1124" s="470" t="s">
        <v>2326</v>
      </c>
      <c r="G1124" s="237">
        <v>0</v>
      </c>
      <c r="H1124" s="323">
        <v>5</v>
      </c>
      <c r="I1124" s="288">
        <f t="shared" si="71"/>
        <v>0</v>
      </c>
      <c r="J1124" s="8"/>
      <c r="K1124" s="9"/>
      <c r="M1124" s="344"/>
      <c r="N1124" s="7" t="s">
        <v>1965</v>
      </c>
      <c r="O1124" s="346"/>
      <c r="P1124" s="66">
        <v>40641</v>
      </c>
      <c r="Q1124" s="66">
        <v>41523</v>
      </c>
      <c r="R1124" s="7">
        <f t="shared" si="74"/>
        <v>882</v>
      </c>
      <c r="S1124" s="470"/>
    </row>
    <row r="1125" spans="1:90" ht="12" customHeight="1" x14ac:dyDescent="0.15">
      <c r="A1125" s="242" t="s">
        <v>3183</v>
      </c>
      <c r="B1125" s="243"/>
      <c r="C1125" s="531" t="s">
        <v>994</v>
      </c>
      <c r="D1125" s="532">
        <f>'2007 Foals'!$H$58</f>
        <v>62</v>
      </c>
      <c r="F1125" s="470" t="s">
        <v>724</v>
      </c>
      <c r="G1125" s="237"/>
      <c r="H1125" s="323"/>
      <c r="I1125" s="288" t="str">
        <f t="shared" si="71"/>
        <v/>
      </c>
      <c r="J1125" s="8"/>
      <c r="M1125" s="11"/>
      <c r="N1125" s="522" t="s">
        <v>4011</v>
      </c>
      <c r="O1125" s="9"/>
      <c r="P1125" s="66">
        <v>41594</v>
      </c>
      <c r="Q1125" s="66">
        <v>42476</v>
      </c>
      <c r="R1125" s="7">
        <f t="shared" si="74"/>
        <v>882</v>
      </c>
      <c r="S1125" s="470"/>
    </row>
    <row r="1126" spans="1:90" ht="12" customHeight="1" x14ac:dyDescent="0.15">
      <c r="A1126" s="242" t="s">
        <v>3182</v>
      </c>
      <c r="B1126" s="243" t="s">
        <v>4473</v>
      </c>
      <c r="C1126" s="530" t="s">
        <v>1538</v>
      </c>
      <c r="D1126" s="261">
        <f>'2008 Foals'!$H$13</f>
        <v>61</v>
      </c>
      <c r="F1126" s="470" t="s">
        <v>814</v>
      </c>
      <c r="G1126" s="237">
        <v>0</v>
      </c>
      <c r="H1126" s="323">
        <v>8</v>
      </c>
      <c r="I1126" s="288">
        <f t="shared" si="71"/>
        <v>0</v>
      </c>
      <c r="K1126" s="9"/>
      <c r="L1126" s="10"/>
      <c r="N1126" s="7" t="s">
        <v>1172</v>
      </c>
      <c r="O1126" s="9"/>
      <c r="P1126" s="66">
        <v>39111</v>
      </c>
      <c r="Q1126" s="66">
        <v>39997</v>
      </c>
      <c r="R1126" s="7">
        <f t="shared" si="74"/>
        <v>886</v>
      </c>
      <c r="S1126" s="470"/>
      <c r="T1126" s="12"/>
    </row>
    <row r="1127" spans="1:90" ht="12" customHeight="1" x14ac:dyDescent="0.15">
      <c r="A1127" s="242" t="s">
        <v>3694</v>
      </c>
      <c r="B1127" s="243"/>
      <c r="C1127" s="530" t="s">
        <v>1381</v>
      </c>
      <c r="D1127" s="261">
        <v>60</v>
      </c>
      <c r="F1127" s="470" t="s">
        <v>2295</v>
      </c>
      <c r="G1127" s="237">
        <v>0</v>
      </c>
      <c r="H1127" s="323">
        <v>5</v>
      </c>
      <c r="I1127" s="288">
        <f t="shared" si="71"/>
        <v>0</v>
      </c>
      <c r="J1127" s="8"/>
      <c r="M1127" s="11"/>
      <c r="N1127" s="7" t="s">
        <v>1583</v>
      </c>
      <c r="O1127" s="346"/>
      <c r="P1127" s="66">
        <v>39840</v>
      </c>
      <c r="Q1127" s="66">
        <v>40727</v>
      </c>
      <c r="R1127" s="7">
        <f t="shared" si="74"/>
        <v>887</v>
      </c>
      <c r="S1127" s="470"/>
    </row>
    <row r="1128" spans="1:90" ht="12" customHeight="1" x14ac:dyDescent="0.15">
      <c r="A1128" s="522" t="s">
        <v>4011</v>
      </c>
      <c r="B1128" s="243" t="s">
        <v>4473</v>
      </c>
      <c r="C1128" s="530" t="s">
        <v>1529</v>
      </c>
      <c r="D1128" s="261">
        <f>'2009 Foals'!$H$13</f>
        <v>57</v>
      </c>
      <c r="F1128" s="470" t="s">
        <v>3782</v>
      </c>
      <c r="G1128" s="237">
        <v>0</v>
      </c>
      <c r="H1128" s="323">
        <v>5</v>
      </c>
      <c r="I1128" s="288">
        <f t="shared" si="71"/>
        <v>0</v>
      </c>
      <c r="K1128" s="9"/>
      <c r="L1128" s="10"/>
      <c r="M1128" s="11"/>
      <c r="N1128" s="7" t="s">
        <v>3099</v>
      </c>
      <c r="O1128" s="346"/>
      <c r="P1128" s="66">
        <v>41743</v>
      </c>
      <c r="Q1128" s="66">
        <v>42617</v>
      </c>
      <c r="R1128" s="7">
        <f t="shared" si="74"/>
        <v>874</v>
      </c>
      <c r="S1128" s="470"/>
      <c r="CH1128" s="26" t="e">
        <f>IF(B1128="","",B1128-D1112)</f>
        <v>#VALUE!</v>
      </c>
    </row>
    <row r="1129" spans="1:90" ht="12" customHeight="1" x14ac:dyDescent="0.15">
      <c r="A1129" s="522" t="s">
        <v>4003</v>
      </c>
      <c r="B1129" s="243" t="s">
        <v>4473</v>
      </c>
      <c r="C1129" s="530" t="s">
        <v>759</v>
      </c>
      <c r="D1129" s="261">
        <v>54</v>
      </c>
      <c r="E1129" s="19"/>
      <c r="F1129" s="470" t="s">
        <v>2331</v>
      </c>
      <c r="G1129" s="237">
        <v>0</v>
      </c>
      <c r="H1129" s="323">
        <v>1</v>
      </c>
      <c r="I1129" s="288">
        <f t="shared" si="71"/>
        <v>0</v>
      </c>
      <c r="J1129" s="8"/>
      <c r="K1129" s="9"/>
      <c r="N1129" s="7" t="s">
        <v>1816</v>
      </c>
      <c r="O1129" s="346"/>
      <c r="P1129" s="66">
        <v>40208</v>
      </c>
      <c r="Q1129" s="66">
        <v>41102</v>
      </c>
      <c r="R1129" s="7">
        <f t="shared" si="74"/>
        <v>894</v>
      </c>
      <c r="S1129" s="470"/>
    </row>
    <row r="1130" spans="1:90" ht="12" customHeight="1" x14ac:dyDescent="0.15">
      <c r="A1130" s="242" t="s">
        <v>3178</v>
      </c>
      <c r="B1130" s="243"/>
      <c r="C1130" s="487" t="s">
        <v>321</v>
      </c>
      <c r="D1130" s="526">
        <f>'2008 Foals'!$H$10</f>
        <v>54</v>
      </c>
      <c r="E1130" s="19"/>
      <c r="F1130" s="470" t="s">
        <v>142</v>
      </c>
      <c r="G1130" s="237"/>
      <c r="H1130" s="323"/>
      <c r="I1130" s="288" t="str">
        <f t="shared" si="71"/>
        <v/>
      </c>
      <c r="J1130" s="8"/>
      <c r="N1130" s="7" t="s">
        <v>3221</v>
      </c>
      <c r="O1130" s="346"/>
      <c r="P1130" s="66">
        <v>41385</v>
      </c>
      <c r="Q1130" s="66">
        <v>42279</v>
      </c>
      <c r="R1130" s="7">
        <f t="shared" si="74"/>
        <v>894</v>
      </c>
      <c r="S1130" s="470"/>
    </row>
    <row r="1131" spans="1:90" ht="12" customHeight="1" x14ac:dyDescent="0.15">
      <c r="A1131" s="242" t="s">
        <v>2227</v>
      </c>
      <c r="B1131" s="243"/>
      <c r="C1131" s="531" t="s">
        <v>3380</v>
      </c>
      <c r="D1131" s="532">
        <v>54</v>
      </c>
      <c r="E1131" s="19"/>
      <c r="F1131" s="470" t="s">
        <v>1268</v>
      </c>
      <c r="G1131" s="237"/>
      <c r="H1131" s="323"/>
      <c r="I1131" s="288" t="str">
        <f t="shared" si="71"/>
        <v/>
      </c>
      <c r="N1131" s="7" t="s">
        <v>2735</v>
      </c>
      <c r="O1131" s="346"/>
      <c r="P1131" s="66">
        <v>41214</v>
      </c>
      <c r="Q1131" s="66">
        <v>42371</v>
      </c>
      <c r="R1131" s="7">
        <f t="shared" si="74"/>
        <v>1157</v>
      </c>
    </row>
    <row r="1132" spans="1:90" ht="12" customHeight="1" x14ac:dyDescent="0.15">
      <c r="A1132" s="522" t="s">
        <v>4175</v>
      </c>
      <c r="B1132" s="243"/>
      <c r="C1132" s="531" t="s">
        <v>479</v>
      </c>
      <c r="D1132" s="532">
        <v>54</v>
      </c>
      <c r="E1132" s="19"/>
      <c r="F1132" s="470" t="s">
        <v>148</v>
      </c>
      <c r="G1132" s="237"/>
      <c r="H1132" s="323"/>
      <c r="I1132" s="288" t="str">
        <f t="shared" si="71"/>
        <v/>
      </c>
      <c r="N1132" s="7" t="s">
        <v>4610</v>
      </c>
      <c r="O1132" s="9"/>
      <c r="P1132" s="66">
        <v>41674</v>
      </c>
      <c r="Q1132" s="66">
        <v>42481</v>
      </c>
      <c r="R1132" s="7">
        <f t="shared" si="74"/>
        <v>807</v>
      </c>
    </row>
    <row r="1133" spans="1:90" ht="12" customHeight="1" x14ac:dyDescent="0.15">
      <c r="A1133" s="522" t="s">
        <v>4829</v>
      </c>
      <c r="B1133" s="243" t="s">
        <v>4193</v>
      </c>
      <c r="C1133" s="530" t="s">
        <v>122</v>
      </c>
      <c r="D1133" s="261">
        <f>'2009 Foals'!$H$5</f>
        <v>55</v>
      </c>
      <c r="E1133" s="19"/>
      <c r="F1133" s="470" t="s">
        <v>1068</v>
      </c>
      <c r="G1133" s="237">
        <v>0</v>
      </c>
      <c r="H1133" s="323">
        <v>4</v>
      </c>
      <c r="I1133" s="288">
        <f t="shared" si="71"/>
        <v>0</v>
      </c>
    </row>
    <row r="1134" spans="1:90" ht="12" customHeight="1" x14ac:dyDescent="0.15">
      <c r="A1134" s="242" t="s">
        <v>3266</v>
      </c>
      <c r="B1134" s="243"/>
      <c r="C1134" s="242" t="s">
        <v>351</v>
      </c>
      <c r="D1134" s="470">
        <v>51</v>
      </c>
      <c r="E1134" s="19"/>
      <c r="F1134" s="470" t="s">
        <v>3352</v>
      </c>
      <c r="G1134" s="237">
        <v>0</v>
      </c>
      <c r="H1134" s="323">
        <v>1</v>
      </c>
      <c r="I1134" s="288">
        <f t="shared" si="71"/>
        <v>0</v>
      </c>
      <c r="K1134" s="9"/>
    </row>
    <row r="1135" spans="1:90" ht="12" customHeight="1" x14ac:dyDescent="0.15">
      <c r="A1135" s="522" t="s">
        <v>4062</v>
      </c>
      <c r="B1135" s="243"/>
      <c r="C1135" s="530" t="s">
        <v>1557</v>
      </c>
      <c r="D1135" s="261">
        <v>51</v>
      </c>
      <c r="E1135" s="19"/>
      <c r="F1135" s="470" t="s">
        <v>1205</v>
      </c>
      <c r="G1135" s="237">
        <v>2</v>
      </c>
      <c r="H1135" s="323">
        <v>3</v>
      </c>
      <c r="I1135" s="288">
        <f t="shared" si="71"/>
        <v>0.66666666666666663</v>
      </c>
      <c r="J1135" s="8"/>
      <c r="K1135" s="9"/>
      <c r="CH1135" s="26" t="e">
        <f>IF(#REF!="","",#REF!-D1108)</f>
        <v>#REF!</v>
      </c>
    </row>
    <row r="1136" spans="1:90" ht="12" customHeight="1" x14ac:dyDescent="0.15">
      <c r="A1136" s="522" t="s">
        <v>5092</v>
      </c>
      <c r="B1136" s="243" t="s">
        <v>4193</v>
      </c>
      <c r="C1136" s="530" t="s">
        <v>1120</v>
      </c>
      <c r="D1136" s="261">
        <f>'2007 Foals'!$H$67</f>
        <v>50</v>
      </c>
      <c r="E1136" s="19"/>
      <c r="F1136" s="470" t="s">
        <v>1983</v>
      </c>
      <c r="G1136" s="237"/>
      <c r="H1136" s="323"/>
      <c r="I1136" s="288" t="str">
        <f t="shared" si="71"/>
        <v/>
      </c>
      <c r="J1136" s="8"/>
      <c r="K1136" s="9"/>
    </row>
    <row r="1137" spans="1:86" ht="12" customHeight="1" x14ac:dyDescent="0.15">
      <c r="A1137" s="522" t="s">
        <v>3829</v>
      </c>
      <c r="B1137" s="243"/>
      <c r="C1137" s="530" t="s">
        <v>31</v>
      </c>
      <c r="D1137" s="261">
        <v>48</v>
      </c>
      <c r="E1137" s="19"/>
      <c r="F1137" s="470" t="s">
        <v>349</v>
      </c>
      <c r="G1137" s="237"/>
      <c r="H1137" s="323"/>
      <c r="I1137" s="288" t="str">
        <f t="shared" si="71"/>
        <v/>
      </c>
      <c r="J1137" s="8"/>
    </row>
    <row r="1138" spans="1:86" ht="12" customHeight="1" x14ac:dyDescent="0.15">
      <c r="A1138" s="242" t="s">
        <v>2177</v>
      </c>
      <c r="B1138" s="243"/>
      <c r="C1138" s="530" t="s">
        <v>842</v>
      </c>
      <c r="D1138" s="261">
        <v>48</v>
      </c>
      <c r="E1138" s="19"/>
      <c r="F1138" s="7" t="s">
        <v>680</v>
      </c>
      <c r="G1138" s="237">
        <v>0</v>
      </c>
      <c r="H1138" s="323">
        <v>6</v>
      </c>
      <c r="I1138" s="288">
        <f t="shared" si="71"/>
        <v>0</v>
      </c>
      <c r="L1138" s="10"/>
    </row>
    <row r="1139" spans="1:86" x14ac:dyDescent="0.15">
      <c r="A1139" s="522" t="s">
        <v>4830</v>
      </c>
      <c r="B1139" s="243"/>
      <c r="C1139" s="530"/>
      <c r="D1139" s="261"/>
      <c r="E1139" s="19"/>
      <c r="F1139" s="470" t="s">
        <v>3599</v>
      </c>
      <c r="G1139" s="237">
        <v>30</v>
      </c>
      <c r="H1139" s="323">
        <v>258</v>
      </c>
      <c r="I1139" s="288">
        <f t="shared" si="71"/>
        <v>0.11627906976744186</v>
      </c>
    </row>
    <row r="1140" spans="1:86" x14ac:dyDescent="0.15">
      <c r="A1140" s="522" t="s">
        <v>5226</v>
      </c>
      <c r="B1140" s="243" t="s">
        <v>4193</v>
      </c>
      <c r="C1140" s="530"/>
      <c r="D1140" s="261"/>
      <c r="E1140" s="19"/>
      <c r="F1140" s="470" t="s">
        <v>3600</v>
      </c>
      <c r="G1140" s="237">
        <v>13</v>
      </c>
      <c r="H1140" s="323">
        <v>72</v>
      </c>
      <c r="I1140" s="288">
        <f t="shared" si="71"/>
        <v>0.18055555555555555</v>
      </c>
    </row>
    <row r="1141" spans="1:86" x14ac:dyDescent="0.15">
      <c r="A1141" s="242" t="s">
        <v>2278</v>
      </c>
      <c r="B1141" s="243"/>
      <c r="C1141" s="19"/>
      <c r="D1141" s="19"/>
      <c r="E1141" s="19"/>
      <c r="F1141" s="470" t="s">
        <v>3601</v>
      </c>
      <c r="G1141" s="237">
        <v>1</v>
      </c>
      <c r="H1141" s="323">
        <v>28</v>
      </c>
      <c r="I1141" s="288">
        <f t="shared" si="71"/>
        <v>3.5714285714285712E-2</v>
      </c>
      <c r="K1141" s="9"/>
    </row>
    <row r="1142" spans="1:86" x14ac:dyDescent="0.15">
      <c r="A1142" s="522" t="s">
        <v>3426</v>
      </c>
      <c r="B1142" s="243"/>
      <c r="C1142" s="19"/>
      <c r="D1142" s="19"/>
      <c r="E1142" s="19"/>
      <c r="F1142" s="470" t="s">
        <v>2296</v>
      </c>
      <c r="G1142" s="237"/>
      <c r="H1142" s="323"/>
      <c r="I1142" s="288" t="str">
        <f t="shared" si="71"/>
        <v/>
      </c>
      <c r="J1142" s="8"/>
    </row>
    <row r="1143" spans="1:86" ht="16" x14ac:dyDescent="0.15">
      <c r="A1143" s="522" t="s">
        <v>3838</v>
      </c>
      <c r="B1143" s="243"/>
      <c r="C1143" s="345" t="s">
        <v>5392</v>
      </c>
      <c r="D1143" s="470"/>
      <c r="E1143" s="19"/>
      <c r="F1143" s="470" t="s">
        <v>1713</v>
      </c>
      <c r="G1143" s="237"/>
      <c r="H1143" s="323"/>
      <c r="I1143" s="288" t="str">
        <f t="shared" si="71"/>
        <v/>
      </c>
    </row>
    <row r="1144" spans="1:86" x14ac:dyDescent="0.15">
      <c r="A1144" s="242" t="s">
        <v>2218</v>
      </c>
      <c r="B1144" s="243"/>
      <c r="C1144" s="242" t="s">
        <v>54</v>
      </c>
      <c r="D1144" s="306">
        <v>940995</v>
      </c>
      <c r="E1144" s="19"/>
      <c r="F1144" s="470" t="s">
        <v>4958</v>
      </c>
      <c r="G1144" s="237">
        <v>0</v>
      </c>
      <c r="H1144" s="323">
        <v>8</v>
      </c>
      <c r="I1144" s="288">
        <f t="shared" si="71"/>
        <v>0</v>
      </c>
    </row>
    <row r="1145" spans="1:86" x14ac:dyDescent="0.15">
      <c r="A1145" s="522" t="s">
        <v>5368</v>
      </c>
      <c r="B1145" s="243" t="s">
        <v>4193</v>
      </c>
      <c r="C1145" s="242" t="s">
        <v>1295</v>
      </c>
      <c r="D1145" s="306">
        <v>587610</v>
      </c>
      <c r="E1145" s="19"/>
      <c r="F1145" s="470" t="s">
        <v>25</v>
      </c>
      <c r="G1145" s="237">
        <v>0</v>
      </c>
      <c r="H1145" s="323">
        <v>1</v>
      </c>
      <c r="I1145" s="288">
        <f t="shared" si="71"/>
        <v>0</v>
      </c>
      <c r="K1145" s="19"/>
      <c r="L1145" s="19"/>
      <c r="W1145" s="19"/>
      <c r="AY1145" s="19"/>
      <c r="AZ1145" s="19"/>
      <c r="CH1145" s="19"/>
    </row>
    <row r="1146" spans="1:86" x14ac:dyDescent="0.15">
      <c r="A1146" s="242" t="s">
        <v>2176</v>
      </c>
      <c r="B1146" s="470"/>
      <c r="C1146" s="242" t="s">
        <v>2459</v>
      </c>
      <c r="D1146" s="306">
        <v>97742</v>
      </c>
      <c r="E1146" s="19"/>
      <c r="F1146" s="7"/>
      <c r="G1146" s="9"/>
      <c r="H1146" s="227"/>
      <c r="I1146" s="226"/>
      <c r="J1146" s="19"/>
      <c r="K1146" s="19"/>
      <c r="L1146" s="19"/>
      <c r="W1146" s="19"/>
      <c r="AY1146" s="19"/>
      <c r="AZ1146" s="19"/>
      <c r="CH1146" s="19"/>
    </row>
    <row r="1147" spans="1:86" x14ac:dyDescent="0.15">
      <c r="A1147" s="522" t="s">
        <v>5377</v>
      </c>
      <c r="B1147" s="243" t="s">
        <v>4193</v>
      </c>
      <c r="C1147" s="242" t="s">
        <v>36</v>
      </c>
      <c r="D1147" s="306">
        <v>87985</v>
      </c>
      <c r="E1147" s="19"/>
      <c r="F1147" s="7"/>
      <c r="G1147" s="227">
        <f>SUM(G1067:G1145)</f>
        <v>114</v>
      </c>
      <c r="H1147" s="227">
        <f>SUM(H1067:H1145)</f>
        <v>839</v>
      </c>
      <c r="I1147" s="226"/>
      <c r="J1147" s="19"/>
      <c r="K1147" s="19"/>
      <c r="L1147" s="19"/>
      <c r="W1147" s="19"/>
      <c r="AY1147" s="19"/>
      <c r="AZ1147" s="19"/>
      <c r="CH1147" s="19"/>
    </row>
    <row r="1148" spans="1:86" x14ac:dyDescent="0.15">
      <c r="A1148" s="522" t="s">
        <v>4758</v>
      </c>
      <c r="C1148" s="242" t="s">
        <v>4621</v>
      </c>
      <c r="D1148" s="306">
        <v>87236</v>
      </c>
      <c r="E1148" s="19"/>
      <c r="F1148" s="7"/>
      <c r="G1148" s="9"/>
      <c r="H1148" s="227"/>
      <c r="I1148" s="226"/>
      <c r="J1148" s="19"/>
      <c r="K1148" s="19"/>
      <c r="L1148" s="19"/>
      <c r="M1148" s="19"/>
      <c r="N1148" s="19"/>
      <c r="O1148" s="19"/>
      <c r="P1148" s="19"/>
      <c r="Q1148" s="19"/>
      <c r="R1148" s="19"/>
      <c r="S1148" s="19"/>
      <c r="T1148" s="19"/>
      <c r="W1148" s="19"/>
      <c r="AY1148" s="19"/>
      <c r="AZ1148" s="19"/>
      <c r="CH1148" s="19"/>
    </row>
    <row r="1149" spans="1:86" x14ac:dyDescent="0.15">
      <c r="A1149" s="228" t="s">
        <v>3099</v>
      </c>
      <c r="B1149" s="643" t="s">
        <v>4473</v>
      </c>
      <c r="C1149" s="242" t="s">
        <v>2164</v>
      </c>
      <c r="D1149" s="306">
        <v>86464</v>
      </c>
      <c r="E1149" s="19"/>
      <c r="F1149" s="7"/>
      <c r="G1149" s="9"/>
      <c r="H1149" s="227"/>
      <c r="I1149" s="226"/>
      <c r="J1149" s="19"/>
      <c r="K1149" s="19"/>
      <c r="L1149" s="19"/>
      <c r="M1149" s="19"/>
      <c r="N1149" s="19"/>
      <c r="O1149" s="19"/>
      <c r="P1149" s="19"/>
      <c r="Q1149" s="19"/>
      <c r="R1149" s="19"/>
      <c r="S1149" s="19"/>
      <c r="T1149" s="19"/>
      <c r="W1149" s="19"/>
      <c r="AY1149" s="19"/>
      <c r="AZ1149" s="19"/>
      <c r="CH1149" s="19"/>
    </row>
    <row r="1150" spans="1:86" x14ac:dyDescent="0.15">
      <c r="A1150" s="228" t="s">
        <v>2484</v>
      </c>
      <c r="B1150" s="643" t="s">
        <v>4312</v>
      </c>
      <c r="E1150" s="19"/>
      <c r="F1150" s="7"/>
      <c r="G1150" s="9"/>
      <c r="H1150" s="227"/>
      <c r="I1150" s="226"/>
      <c r="J1150" s="19"/>
      <c r="K1150" s="19"/>
      <c r="L1150" s="19"/>
      <c r="M1150" s="19"/>
      <c r="N1150" s="19"/>
      <c r="O1150" s="19"/>
      <c r="P1150" s="19"/>
      <c r="Q1150" s="19"/>
      <c r="R1150" s="19"/>
      <c r="S1150" s="19"/>
      <c r="T1150" s="19"/>
      <c r="W1150" s="19"/>
      <c r="AY1150" s="19"/>
      <c r="AZ1150" s="19"/>
      <c r="CH1150" s="19"/>
    </row>
    <row r="1151" spans="1:86" x14ac:dyDescent="0.15">
      <c r="A1151" s="228" t="s">
        <v>3629</v>
      </c>
      <c r="B1151" s="643" t="s">
        <v>4473</v>
      </c>
      <c r="E1151" s="19"/>
      <c r="F1151" s="7"/>
      <c r="G1151" s="9"/>
      <c r="H1151" s="227"/>
      <c r="I1151" s="226"/>
      <c r="J1151" s="19"/>
      <c r="K1151" s="19"/>
      <c r="L1151" s="19"/>
      <c r="M1151" s="19"/>
      <c r="N1151" s="19"/>
      <c r="O1151" s="19"/>
      <c r="P1151" s="19"/>
      <c r="Q1151" s="19"/>
      <c r="R1151" s="19"/>
      <c r="S1151" s="19"/>
      <c r="T1151" s="19"/>
      <c r="W1151" s="19"/>
      <c r="AY1151" s="19"/>
      <c r="AZ1151" s="19"/>
      <c r="CH1151" s="19"/>
    </row>
    <row r="1152" spans="1:86" x14ac:dyDescent="0.15">
      <c r="E1152" s="19"/>
      <c r="F1152" s="7"/>
      <c r="G1152" s="9"/>
      <c r="H1152" s="227"/>
      <c r="I1152" s="226"/>
      <c r="J1152" s="19"/>
      <c r="K1152" s="19"/>
      <c r="L1152" s="19"/>
      <c r="M1152" s="19"/>
      <c r="N1152" s="19"/>
      <c r="O1152" s="19"/>
      <c r="P1152" s="19"/>
      <c r="Q1152" s="19"/>
      <c r="R1152" s="19"/>
      <c r="S1152" s="19"/>
      <c r="T1152" s="19"/>
      <c r="W1152" s="19"/>
      <c r="AY1152" s="19"/>
      <c r="AZ1152" s="19"/>
      <c r="CH1152" s="19"/>
    </row>
  </sheetData>
  <sortState ref="C1051:D1101">
    <sortCondition descending="1" ref="D1051:D1101"/>
  </sortState>
  <mergeCells count="1">
    <mergeCell ref="A3:A4"/>
  </mergeCells>
  <pageMargins left="0.75" right="0.75" top="1" bottom="1" header="0.5" footer="0.5"/>
  <pageSetup orientation="portrait" horizontalDpi="4294967292" vertic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34"/>
  <sheetViews>
    <sheetView workbookViewId="0">
      <pane ySplit="3" topLeftCell="A4" activePane="bottomLeft" state="frozen"/>
      <selection pane="bottomLeft" activeCell="H5" sqref="H5"/>
    </sheetView>
  </sheetViews>
  <sheetFormatPr baseColWidth="10" defaultColWidth="9.1640625" defaultRowHeight="12" x14ac:dyDescent="0.15"/>
  <cols>
    <col min="1" max="1" width="17.5" style="379" customWidth="1"/>
    <col min="2" max="2" width="12.83203125" style="379" customWidth="1"/>
    <col min="3" max="3" width="23.33203125" style="379" customWidth="1"/>
    <col min="4" max="4" width="18.5" style="379" customWidth="1"/>
    <col min="5" max="5" width="17.1640625" style="379" customWidth="1"/>
    <col min="6" max="6" width="12" style="378" customWidth="1"/>
    <col min="7" max="7" width="10.33203125" style="377" customWidth="1"/>
    <col min="8" max="8" width="4.1640625" style="376" customWidth="1"/>
    <col min="9" max="11" width="3.5" style="376" customWidth="1"/>
    <col min="12" max="12" width="9.5" style="376" customWidth="1"/>
    <col min="13" max="13" width="9.6640625" style="375" customWidth="1"/>
    <col min="14" max="14" width="5.83203125" style="375" customWidth="1"/>
    <col min="15" max="15" width="5.6640625" style="375" customWidth="1"/>
    <col min="16" max="16" width="12.6640625" style="375" customWidth="1"/>
    <col min="17" max="17" width="16.5" style="375" customWidth="1"/>
    <col min="18" max="18" width="9.1640625" style="374"/>
    <col min="19" max="19" width="2.6640625" style="374" customWidth="1"/>
    <col min="20" max="20" width="9.1640625" style="374"/>
    <col min="21" max="21" width="11.5" style="373" customWidth="1"/>
    <col min="22" max="22" width="9.1640625" style="373"/>
    <col min="23" max="23" width="2.6640625" style="373" customWidth="1"/>
    <col min="24" max="16384" width="9.1640625" style="373"/>
  </cols>
  <sheetData>
    <row r="1" spans="1:58" ht="12" customHeight="1" x14ac:dyDescent="0.15"/>
    <row r="2" spans="1:58" ht="12" customHeight="1" x14ac:dyDescent="0.15">
      <c r="A2" s="414"/>
      <c r="F2" s="413"/>
      <c r="G2" s="410" t="s">
        <v>436</v>
      </c>
      <c r="K2" s="412"/>
      <c r="L2" s="411" t="s">
        <v>624</v>
      </c>
      <c r="M2" s="410"/>
      <c r="N2" s="410"/>
      <c r="O2" s="410"/>
      <c r="P2" s="410"/>
      <c r="Q2" s="409"/>
      <c r="R2" s="409"/>
      <c r="U2" s="408"/>
      <c r="AC2" s="407"/>
    </row>
    <row r="3" spans="1:58" s="399" customFormat="1" ht="44" customHeight="1" thickBot="1" x14ac:dyDescent="0.2">
      <c r="A3" s="406" t="s">
        <v>720</v>
      </c>
      <c r="B3" s="406" t="s">
        <v>710</v>
      </c>
      <c r="C3" s="406" t="s">
        <v>844</v>
      </c>
      <c r="D3" s="406" t="s">
        <v>670</v>
      </c>
      <c r="E3" s="406" t="s">
        <v>310</v>
      </c>
      <c r="F3" s="405" t="s">
        <v>845</v>
      </c>
      <c r="G3" s="404" t="s">
        <v>635</v>
      </c>
      <c r="H3" s="403" t="s">
        <v>392</v>
      </c>
      <c r="I3" s="403" t="s">
        <v>393</v>
      </c>
      <c r="J3" s="403" t="s">
        <v>394</v>
      </c>
      <c r="K3" s="403" t="s">
        <v>395</v>
      </c>
      <c r="L3" s="403" t="s">
        <v>647</v>
      </c>
      <c r="M3" s="402" t="s">
        <v>1977</v>
      </c>
      <c r="N3" s="190" t="s">
        <v>2301</v>
      </c>
      <c r="O3" s="190" t="s">
        <v>2302</v>
      </c>
      <c r="P3" s="402" t="s">
        <v>120</v>
      </c>
      <c r="Q3" s="402" t="s">
        <v>1242</v>
      </c>
      <c r="R3" s="401" t="s">
        <v>669</v>
      </c>
      <c r="S3" s="400"/>
      <c r="T3" s="400"/>
    </row>
    <row r="4" spans="1:58" s="140" customFormat="1" ht="12" customHeight="1" thickTop="1" x14ac:dyDescent="0.15">
      <c r="A4" s="58" t="s">
        <v>2796</v>
      </c>
      <c r="B4" s="58" t="s">
        <v>2567</v>
      </c>
      <c r="C4" s="58" t="s">
        <v>2795</v>
      </c>
      <c r="D4" s="58" t="s">
        <v>2661</v>
      </c>
      <c r="E4" s="58" t="s">
        <v>2794</v>
      </c>
      <c r="F4" s="137">
        <v>41192</v>
      </c>
      <c r="G4" s="138"/>
      <c r="H4" s="139">
        <v>8</v>
      </c>
      <c r="I4" s="139">
        <v>1</v>
      </c>
      <c r="J4" s="139">
        <v>1</v>
      </c>
      <c r="K4" s="139">
        <v>0</v>
      </c>
      <c r="L4" s="191">
        <f>2003+99+99+99+99+99+976</f>
        <v>3474</v>
      </c>
      <c r="M4" s="191">
        <f>IF(H4="","",L4/H4)</f>
        <v>434.25</v>
      </c>
      <c r="N4" s="330">
        <f>IF(H4="","--",I4/H4)</f>
        <v>0.125</v>
      </c>
      <c r="O4" s="330">
        <f>IF(H4="","--",SUM(I4:K4)/H4)</f>
        <v>0.25</v>
      </c>
      <c r="P4" s="56" t="s">
        <v>5640</v>
      </c>
      <c r="Q4" s="330" t="s">
        <v>3093</v>
      </c>
      <c r="R4" s="56" t="s">
        <v>4199</v>
      </c>
      <c r="S4" s="56"/>
      <c r="T4" s="58"/>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BA4" s="441">
        <f t="shared" ref="BA4:BA20" si="0">IF(I4="","",IF(I4=0,0,1))</f>
        <v>1</v>
      </c>
      <c r="BC4" s="141"/>
      <c r="BF4" s="141"/>
    </row>
    <row r="5" spans="1:58" s="140" customFormat="1" ht="12" customHeight="1" x14ac:dyDescent="0.15">
      <c r="A5" s="58" t="s">
        <v>2782</v>
      </c>
      <c r="B5" s="58" t="s">
        <v>2549</v>
      </c>
      <c r="C5" s="58" t="s">
        <v>2781</v>
      </c>
      <c r="D5" s="58" t="s">
        <v>2780</v>
      </c>
      <c r="E5" s="58" t="s">
        <v>2779</v>
      </c>
      <c r="F5" s="137">
        <v>41206</v>
      </c>
      <c r="G5" s="138"/>
      <c r="H5" s="139">
        <v>13</v>
      </c>
      <c r="I5" s="139">
        <v>1</v>
      </c>
      <c r="J5" s="139">
        <v>2</v>
      </c>
      <c r="K5" s="139">
        <v>1</v>
      </c>
      <c r="L5" s="191">
        <f>223+898+163+2446+85+838+85+25+99+99+99+1022+99</f>
        <v>6181</v>
      </c>
      <c r="M5" s="191">
        <f>IF(H5="","",L5/H5)</f>
        <v>475.46153846153845</v>
      </c>
      <c r="N5" s="330">
        <f>IF(H5="","--",I5/H5)</f>
        <v>7.6923076923076927E-2</v>
      </c>
      <c r="O5" s="330">
        <f>IF(H5="","--",SUM(I5:K5)/H5)</f>
        <v>0.30769230769230771</v>
      </c>
      <c r="P5" s="56" t="s">
        <v>5640</v>
      </c>
      <c r="Q5" s="56" t="s">
        <v>3093</v>
      </c>
      <c r="R5" s="58" t="s">
        <v>3414</v>
      </c>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BA5" s="441">
        <f>IF(I5="","",IF(I5=0,0,1))</f>
        <v>1</v>
      </c>
      <c r="BD5" s="141"/>
    </row>
    <row r="6" spans="1:58" s="140" customFormat="1" ht="12" customHeight="1" x14ac:dyDescent="0.15">
      <c r="A6" s="58" t="s">
        <v>2776</v>
      </c>
      <c r="B6" s="58" t="s">
        <v>2580</v>
      </c>
      <c r="C6" s="58" t="s">
        <v>2775</v>
      </c>
      <c r="D6" s="58" t="s">
        <v>2755</v>
      </c>
      <c r="E6" s="58" t="s">
        <v>2744</v>
      </c>
      <c r="F6" s="137">
        <v>41123</v>
      </c>
      <c r="G6" s="138"/>
      <c r="H6" s="139">
        <v>8</v>
      </c>
      <c r="I6" s="139">
        <v>1</v>
      </c>
      <c r="J6" s="139">
        <v>0</v>
      </c>
      <c r="K6" s="139">
        <v>0</v>
      </c>
      <c r="L6" s="191">
        <f>85+4077+85+85+85+85+99+99</f>
        <v>4700</v>
      </c>
      <c r="M6" s="191">
        <f>IF(H6="","",L6/H6)</f>
        <v>587.5</v>
      </c>
      <c r="N6" s="330">
        <f>IF(H6="","--",I6/H6)</f>
        <v>0.125</v>
      </c>
      <c r="O6" s="330">
        <f>IF(H6="","--",SUM(I6:K6)/H6)</f>
        <v>0.125</v>
      </c>
      <c r="P6" s="56" t="s">
        <v>5183</v>
      </c>
      <c r="Q6" s="56" t="s">
        <v>3093</v>
      </c>
      <c r="R6" s="58"/>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BA6" s="441">
        <f>IF(I6="","",IF(I6=0,0,1))</f>
        <v>1</v>
      </c>
      <c r="BD6" s="141"/>
    </row>
    <row r="7" spans="1:58" s="140" customFormat="1" ht="12" customHeight="1" x14ac:dyDescent="0.15">
      <c r="A7" s="58" t="s">
        <v>2771</v>
      </c>
      <c r="B7" s="58" t="s">
        <v>2580</v>
      </c>
      <c r="C7" s="58" t="s">
        <v>2770</v>
      </c>
      <c r="D7" s="58" t="s">
        <v>2769</v>
      </c>
      <c r="E7" s="58" t="s">
        <v>2744</v>
      </c>
      <c r="F7" s="137">
        <v>41126</v>
      </c>
      <c r="G7" s="138"/>
      <c r="H7" s="139">
        <v>19</v>
      </c>
      <c r="I7" s="139">
        <v>2</v>
      </c>
      <c r="J7" s="139">
        <v>3</v>
      </c>
      <c r="K7" s="139">
        <v>5</v>
      </c>
      <c r="L7" s="191">
        <f>85+1283+388+85+85+3867+85+961+1367+420+1487+99+862+1385+4001+1452+397+99+99</f>
        <v>18507</v>
      </c>
      <c r="M7" s="191">
        <f t="shared" ref="M7" si="1">IF(H7="","",L7/H7)</f>
        <v>974.0526315789474</v>
      </c>
      <c r="N7" s="330">
        <f t="shared" ref="N7" si="2">IF(H7="","--",I7/H7)</f>
        <v>0.10526315789473684</v>
      </c>
      <c r="O7" s="330">
        <f t="shared" ref="O7" si="3">IF(H7="","--",SUM(I7:K7)/H7)</f>
        <v>0.52631578947368418</v>
      </c>
      <c r="P7" s="56" t="s">
        <v>5640</v>
      </c>
      <c r="Q7" s="56" t="s">
        <v>3093</v>
      </c>
      <c r="R7" s="58" t="s">
        <v>5556</v>
      </c>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BA7" s="441">
        <f t="shared" si="0"/>
        <v>1</v>
      </c>
      <c r="BD7" s="141"/>
    </row>
    <row r="8" spans="1:58" s="140" customFormat="1" ht="12" customHeight="1" x14ac:dyDescent="0.15">
      <c r="A8" s="58" t="s">
        <v>2765</v>
      </c>
      <c r="B8" s="58" t="s">
        <v>2580</v>
      </c>
      <c r="C8" s="58" t="s">
        <v>2764</v>
      </c>
      <c r="D8" s="58" t="s">
        <v>2763</v>
      </c>
      <c r="E8" s="58" t="s">
        <v>2744</v>
      </c>
      <c r="F8" s="137">
        <v>41127</v>
      </c>
      <c r="G8" s="138"/>
      <c r="H8" s="139">
        <v>20</v>
      </c>
      <c r="I8" s="139">
        <v>1</v>
      </c>
      <c r="J8" s="139">
        <v>4</v>
      </c>
      <c r="K8" s="139">
        <v>4</v>
      </c>
      <c r="L8" s="191">
        <f>493+85+85+472+470+216+227+99+809+65+1315+785+379+693+99+65+1686+99+99+597</f>
        <v>8838</v>
      </c>
      <c r="M8" s="191">
        <f t="shared" ref="M8" si="4">IF(H8="","",L8/H8)</f>
        <v>441.9</v>
      </c>
      <c r="N8" s="330">
        <f>IF(H8="","--",I8/H8)</f>
        <v>0.05</v>
      </c>
      <c r="O8" s="330">
        <f>IF(H8="","--",SUM(I8:K8)/H8)</f>
        <v>0.45</v>
      </c>
      <c r="P8" s="56" t="s">
        <v>5652</v>
      </c>
      <c r="Q8" s="330" t="s">
        <v>3093</v>
      </c>
      <c r="R8" s="56"/>
      <c r="S8" s="56"/>
      <c r="T8" s="58"/>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BA8" s="441">
        <f>IF(I8="","",IF(I8=0,0,1))</f>
        <v>1</v>
      </c>
      <c r="BC8" s="141"/>
      <c r="BF8" s="141"/>
    </row>
    <row r="9" spans="1:58" s="140" customFormat="1" ht="12" customHeight="1" x14ac:dyDescent="0.15">
      <c r="A9" s="58" t="s">
        <v>2760</v>
      </c>
      <c r="B9" s="58" t="s">
        <v>2580</v>
      </c>
      <c r="C9" s="58" t="s">
        <v>2759</v>
      </c>
      <c r="D9" s="58" t="s">
        <v>2758</v>
      </c>
      <c r="E9" s="58" t="s">
        <v>2744</v>
      </c>
      <c r="F9" s="137">
        <v>41145</v>
      </c>
      <c r="G9" s="138"/>
      <c r="H9" s="139">
        <v>10</v>
      </c>
      <c r="I9" s="139">
        <v>1</v>
      </c>
      <c r="J9" s="139">
        <v>2</v>
      </c>
      <c r="K9" s="139">
        <v>2</v>
      </c>
      <c r="L9" s="191">
        <f>710+368+99+1260+233+759+3350+99+99+99</f>
        <v>7076</v>
      </c>
      <c r="M9" s="191">
        <f t="shared" ref="M9:M13" si="5">IF(H9="","",L9/H9)</f>
        <v>707.6</v>
      </c>
      <c r="N9" s="330">
        <f t="shared" ref="N9:N13" si="6">IF(H9="","--",I9/H9)</f>
        <v>0.1</v>
      </c>
      <c r="O9" s="330">
        <f t="shared" ref="O9:O13" si="7">IF(H9="","--",SUM(I9:K9)/H9)</f>
        <v>0.5</v>
      </c>
      <c r="P9" s="56" t="s">
        <v>5640</v>
      </c>
      <c r="Q9" s="56" t="s">
        <v>3093</v>
      </c>
      <c r="R9" s="56"/>
      <c r="S9" s="56"/>
      <c r="T9" s="58"/>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BA9" s="441">
        <f>IF(I9="","",IF(I9=0,0,1))</f>
        <v>1</v>
      </c>
      <c r="BC9" s="141"/>
      <c r="BF9" s="141"/>
    </row>
    <row r="10" spans="1:58" s="140" customFormat="1" ht="12" customHeight="1" x14ac:dyDescent="0.15">
      <c r="A10" s="58" t="s">
        <v>2757</v>
      </c>
      <c r="B10" s="58" t="s">
        <v>2567</v>
      </c>
      <c r="C10" s="58" t="s">
        <v>2756</v>
      </c>
      <c r="D10" s="58" t="s">
        <v>2755</v>
      </c>
      <c r="E10" s="58" t="s">
        <v>2744</v>
      </c>
      <c r="F10" s="137">
        <v>41224</v>
      </c>
      <c r="G10" s="138"/>
      <c r="H10" s="139">
        <v>14</v>
      </c>
      <c r="I10" s="139">
        <v>1</v>
      </c>
      <c r="J10" s="139">
        <v>4</v>
      </c>
      <c r="K10" s="139">
        <v>3</v>
      </c>
      <c r="L10" s="191">
        <f>85+85+85+215+479+99+1221+1482+1326+4339+976+402+99+1238</f>
        <v>12131</v>
      </c>
      <c r="M10" s="191">
        <f t="shared" si="5"/>
        <v>866.5</v>
      </c>
      <c r="N10" s="330">
        <f t="shared" si="6"/>
        <v>7.1428571428571425E-2</v>
      </c>
      <c r="O10" s="330">
        <f t="shared" si="7"/>
        <v>0.5714285714285714</v>
      </c>
      <c r="P10" s="56" t="s">
        <v>5640</v>
      </c>
      <c r="Q10" s="330" t="s">
        <v>3093</v>
      </c>
      <c r="R10" s="56"/>
      <c r="S10" s="56"/>
      <c r="T10" s="58"/>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BA10" s="441">
        <f>IF(I10="","",IF(I10=0,0,1))</f>
        <v>1</v>
      </c>
      <c r="BC10" s="141"/>
      <c r="BF10" s="141"/>
    </row>
    <row r="11" spans="1:58" s="140" customFormat="1" ht="12" customHeight="1" x14ac:dyDescent="0.15">
      <c r="A11" s="58" t="s">
        <v>2746</v>
      </c>
      <c r="B11" s="58" t="s">
        <v>2580</v>
      </c>
      <c r="C11" s="58" t="s">
        <v>3336</v>
      </c>
      <c r="D11" s="58" t="s">
        <v>2745</v>
      </c>
      <c r="E11" s="58" t="s">
        <v>2744</v>
      </c>
      <c r="F11" s="137">
        <v>41196</v>
      </c>
      <c r="G11" s="138"/>
      <c r="H11" s="139">
        <v>15</v>
      </c>
      <c r="I11" s="139">
        <v>2</v>
      </c>
      <c r="J11" s="139">
        <v>2</v>
      </c>
      <c r="K11" s="139">
        <v>0</v>
      </c>
      <c r="L11" s="191">
        <f>85+6392+85+85+854+400+1433+389+99+99+99+1265+3537</f>
        <v>14822</v>
      </c>
      <c r="M11" s="191">
        <f t="shared" si="5"/>
        <v>988.13333333333333</v>
      </c>
      <c r="N11" s="330">
        <f t="shared" si="6"/>
        <v>0.13333333333333333</v>
      </c>
      <c r="O11" s="330">
        <f t="shared" si="7"/>
        <v>0.26666666666666666</v>
      </c>
      <c r="P11" s="56" t="s">
        <v>5640</v>
      </c>
      <c r="Q11" s="330" t="s">
        <v>3093</v>
      </c>
      <c r="R11" s="56"/>
      <c r="S11" s="56"/>
      <c r="T11" s="58"/>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BA11" s="441">
        <f t="shared" si="0"/>
        <v>1</v>
      </c>
      <c r="BC11" s="141"/>
      <c r="BF11" s="141"/>
    </row>
    <row r="12" spans="1:58" s="140" customFormat="1" ht="12" customHeight="1" x14ac:dyDescent="0.15">
      <c r="A12" s="58" t="s">
        <v>2743</v>
      </c>
      <c r="B12" s="58" t="s">
        <v>2567</v>
      </c>
      <c r="C12" s="58" t="s">
        <v>2742</v>
      </c>
      <c r="D12" s="58" t="s">
        <v>978</v>
      </c>
      <c r="E12" s="58" t="s">
        <v>2609</v>
      </c>
      <c r="F12" s="137">
        <v>41138</v>
      </c>
      <c r="G12" s="138"/>
      <c r="H12" s="139">
        <v>3</v>
      </c>
      <c r="I12" s="139">
        <v>2</v>
      </c>
      <c r="J12" s="139">
        <v>1</v>
      </c>
      <c r="K12" s="139">
        <v>0</v>
      </c>
      <c r="L12" s="191">
        <f>3298+1201+3615</f>
        <v>8114</v>
      </c>
      <c r="M12" s="191">
        <f>IF(H12="","",L12/H12)</f>
        <v>2704.6666666666665</v>
      </c>
      <c r="N12" s="330">
        <f>IF(H12="","--",I12/H12)</f>
        <v>0.66666666666666663</v>
      </c>
      <c r="O12" s="330">
        <f>IF(H12="","--",SUM(I12:K12)/H12)</f>
        <v>1</v>
      </c>
      <c r="P12" s="56" t="s">
        <v>5408</v>
      </c>
      <c r="Q12" s="330" t="s">
        <v>3093</v>
      </c>
      <c r="R12" s="56" t="s">
        <v>4883</v>
      </c>
      <c r="S12" s="56"/>
      <c r="T12" s="58"/>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BA12" s="441">
        <f>IF(I12="","",IF(I12=0,0,1))</f>
        <v>1</v>
      </c>
      <c r="BC12" s="141"/>
      <c r="BF12" s="141"/>
    </row>
    <row r="13" spans="1:58" s="140" customFormat="1" ht="12" customHeight="1" x14ac:dyDescent="0.15">
      <c r="A13" s="58" t="s">
        <v>3281</v>
      </c>
      <c r="B13" s="58" t="s">
        <v>2572</v>
      </c>
      <c r="C13" s="58" t="s">
        <v>2834</v>
      </c>
      <c r="D13" s="58" t="s">
        <v>2740</v>
      </c>
      <c r="E13" s="58" t="s">
        <v>2609</v>
      </c>
      <c r="F13" s="137">
        <v>41106</v>
      </c>
      <c r="G13" s="138"/>
      <c r="H13" s="139">
        <v>7</v>
      </c>
      <c r="I13" s="139">
        <v>1</v>
      </c>
      <c r="J13" s="139">
        <v>0</v>
      </c>
      <c r="K13" s="139">
        <v>1</v>
      </c>
      <c r="L13" s="191">
        <f>99+455+99+1005+4217+99+99</f>
        <v>6073</v>
      </c>
      <c r="M13" s="191">
        <f t="shared" si="5"/>
        <v>867.57142857142856</v>
      </c>
      <c r="N13" s="330">
        <f t="shared" si="6"/>
        <v>0.14285714285714285</v>
      </c>
      <c r="O13" s="330">
        <f t="shared" si="7"/>
        <v>0.2857142857142857</v>
      </c>
      <c r="P13" s="56" t="s">
        <v>5172</v>
      </c>
      <c r="Q13" s="330" t="s">
        <v>3093</v>
      </c>
      <c r="R13" s="56" t="s">
        <v>3283</v>
      </c>
      <c r="S13" s="56"/>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BA13" s="441">
        <f>IF(I13="","",IF(I13=0,0,1))</f>
        <v>1</v>
      </c>
      <c r="BC13" s="141"/>
      <c r="BF13" s="141"/>
    </row>
    <row r="14" spans="1:58" s="140" customFormat="1" ht="12" customHeight="1" x14ac:dyDescent="0.15">
      <c r="A14" s="58" t="s">
        <v>2732</v>
      </c>
      <c r="B14" s="58" t="s">
        <v>2572</v>
      </c>
      <c r="C14" s="58" t="s">
        <v>2731</v>
      </c>
      <c r="D14" s="58" t="s">
        <v>755</v>
      </c>
      <c r="E14" s="58" t="s">
        <v>2609</v>
      </c>
      <c r="F14" s="137">
        <v>41094</v>
      </c>
      <c r="G14" s="138"/>
      <c r="H14" s="139">
        <v>13</v>
      </c>
      <c r="I14" s="139">
        <v>3</v>
      </c>
      <c r="J14" s="139">
        <v>5</v>
      </c>
      <c r="K14" s="139">
        <v>1</v>
      </c>
      <c r="L14" s="191">
        <f>85+903+55+2286+3895+99+1462+99+1414+936+4174+1261+1670</f>
        <v>18339</v>
      </c>
      <c r="M14" s="191">
        <f t="shared" ref="M14:M19" si="8">IF(H14="","",L14/H14)</f>
        <v>1410.6923076923076</v>
      </c>
      <c r="N14" s="330">
        <f t="shared" ref="N14:N20" si="9">IF(H14="","--",I14/H14)</f>
        <v>0.23076923076923078</v>
      </c>
      <c r="O14" s="330">
        <f t="shared" ref="O14:O20" si="10">IF(H14="","--",SUM(I14:K14)/H14)</f>
        <v>0.69230769230769229</v>
      </c>
      <c r="P14" s="56" t="s">
        <v>5408</v>
      </c>
      <c r="Q14" s="330" t="s">
        <v>3093</v>
      </c>
      <c r="R14" s="56" t="s">
        <v>2730</v>
      </c>
      <c r="S14" s="56"/>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BA14" s="441">
        <f t="shared" si="0"/>
        <v>1</v>
      </c>
      <c r="BC14" s="141"/>
      <c r="BF14" s="141"/>
    </row>
    <row r="15" spans="1:58" s="140" customFormat="1" ht="12" customHeight="1" x14ac:dyDescent="0.15">
      <c r="A15" s="58" t="s">
        <v>2716</v>
      </c>
      <c r="B15" s="58" t="s">
        <v>2567</v>
      </c>
      <c r="C15" s="58" t="s">
        <v>2715</v>
      </c>
      <c r="D15" s="58" t="s">
        <v>2714</v>
      </c>
      <c r="E15" s="58" t="s">
        <v>2609</v>
      </c>
      <c r="F15" s="137">
        <v>41212</v>
      </c>
      <c r="G15" s="138"/>
      <c r="H15" s="139">
        <v>9</v>
      </c>
      <c r="I15" s="139">
        <v>1</v>
      </c>
      <c r="J15" s="139">
        <v>1</v>
      </c>
      <c r="K15" s="139">
        <v>2</v>
      </c>
      <c r="L15" s="191">
        <f>55+429+65+195+359+590+173+295+1782</f>
        <v>3943</v>
      </c>
      <c r="M15" s="191">
        <f t="shared" si="8"/>
        <v>438.11111111111109</v>
      </c>
      <c r="N15" s="330">
        <f>IF(H15="","--",I15/H15)</f>
        <v>0.1111111111111111</v>
      </c>
      <c r="O15" s="330">
        <f>IF(H15="","--",SUM(I15:K15)/H15)</f>
        <v>0.44444444444444442</v>
      </c>
      <c r="P15" s="56" t="s">
        <v>5417</v>
      </c>
      <c r="Q15" s="330" t="s">
        <v>3093</v>
      </c>
      <c r="R15" s="56" t="s">
        <v>2713</v>
      </c>
      <c r="S15" s="56"/>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BA15" s="441">
        <f>IF(I15="","",IF(I15=0,0,1))</f>
        <v>1</v>
      </c>
      <c r="BC15" s="141"/>
      <c r="BF15" s="141"/>
    </row>
    <row r="16" spans="1:58" s="140" customFormat="1" ht="12" customHeight="1" x14ac:dyDescent="0.15">
      <c r="A16" s="58" t="s">
        <v>2710</v>
      </c>
      <c r="B16" s="58" t="s">
        <v>2572</v>
      </c>
      <c r="C16" s="58" t="s">
        <v>2709</v>
      </c>
      <c r="D16" s="58" t="s">
        <v>2708</v>
      </c>
      <c r="E16" s="58" t="s">
        <v>2609</v>
      </c>
      <c r="F16" s="137">
        <v>41184</v>
      </c>
      <c r="G16" s="138"/>
      <c r="H16" s="139">
        <v>12</v>
      </c>
      <c r="I16" s="139">
        <v>1</v>
      </c>
      <c r="J16" s="139">
        <v>2</v>
      </c>
      <c r="K16" s="139">
        <v>1</v>
      </c>
      <c r="L16" s="191">
        <f>1252+272+1353+3867+85+99+320+99+99+3429+99+99</f>
        <v>11073</v>
      </c>
      <c r="M16" s="191">
        <f t="shared" si="8"/>
        <v>922.75</v>
      </c>
      <c r="N16" s="330">
        <f>IF(H16="","--",I16/H16)</f>
        <v>8.3333333333333329E-2</v>
      </c>
      <c r="O16" s="330">
        <f>IF(H16="","--",SUM(I16:K16)/H16)</f>
        <v>0.33333333333333331</v>
      </c>
      <c r="P16" s="56" t="s">
        <v>5640</v>
      </c>
      <c r="Q16" s="56" t="s">
        <v>3093</v>
      </c>
      <c r="R16" s="58" t="s">
        <v>2704</v>
      </c>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BA16" s="441">
        <f>IF(I16="","",IF(I16=0,0,1))</f>
        <v>1</v>
      </c>
      <c r="BD16" s="141"/>
    </row>
    <row r="17" spans="1:58" s="140" customFormat="1" ht="12" customHeight="1" x14ac:dyDescent="0.15">
      <c r="A17" s="58" t="s">
        <v>2693</v>
      </c>
      <c r="B17" s="58" t="s">
        <v>2567</v>
      </c>
      <c r="C17" s="58" t="s">
        <v>2692</v>
      </c>
      <c r="D17" s="58" t="s">
        <v>2884</v>
      </c>
      <c r="E17" s="58" t="s">
        <v>2609</v>
      </c>
      <c r="F17" s="137">
        <v>41183</v>
      </c>
      <c r="G17" s="138"/>
      <c r="H17" s="139">
        <v>14</v>
      </c>
      <c r="I17" s="139">
        <v>3</v>
      </c>
      <c r="J17" s="139">
        <v>3</v>
      </c>
      <c r="K17" s="139">
        <v>1</v>
      </c>
      <c r="L17" s="191">
        <f>85+85+3328+926+4306+85+0+473+85+1133+99+1167+1208+3310</f>
        <v>16290</v>
      </c>
      <c r="M17" s="191">
        <f t="shared" si="8"/>
        <v>1163.5714285714287</v>
      </c>
      <c r="N17" s="330">
        <f>IF(H17="","--",I17/H17)</f>
        <v>0.21428571428571427</v>
      </c>
      <c r="O17" s="330">
        <f>IF(H17="","--",SUM(I17:K17)/H17)</f>
        <v>0.5</v>
      </c>
      <c r="P17" s="56" t="s">
        <v>5640</v>
      </c>
      <c r="Q17" s="56" t="s">
        <v>3282</v>
      </c>
      <c r="R17" s="58" t="s">
        <v>2691</v>
      </c>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BA17" s="441">
        <f>IF(I17="","",IF(I17=0,0,1))</f>
        <v>1</v>
      </c>
      <c r="BD17" s="141"/>
    </row>
    <row r="18" spans="1:58" s="140" customFormat="1" ht="12" customHeight="1" x14ac:dyDescent="0.15">
      <c r="A18" s="58" t="s">
        <v>2686</v>
      </c>
      <c r="B18" s="58" t="s">
        <v>2580</v>
      </c>
      <c r="C18" s="58" t="s">
        <v>2685</v>
      </c>
      <c r="D18" s="58" t="s">
        <v>699</v>
      </c>
      <c r="E18" s="58" t="s">
        <v>2609</v>
      </c>
      <c r="F18" s="137">
        <v>41122</v>
      </c>
      <c r="G18" s="138"/>
      <c r="H18" s="139">
        <v>14</v>
      </c>
      <c r="I18" s="139">
        <v>1</v>
      </c>
      <c r="J18" s="139">
        <v>3</v>
      </c>
      <c r="K18" s="139">
        <v>2</v>
      </c>
      <c r="L18" s="191">
        <f>387+828+25+361+337+2773+99+261+65+170+194+572+65+65</f>
        <v>6202</v>
      </c>
      <c r="M18" s="191">
        <f t="shared" si="8"/>
        <v>443</v>
      </c>
      <c r="N18" s="330">
        <f t="shared" si="9"/>
        <v>7.1428571428571425E-2</v>
      </c>
      <c r="O18" s="330">
        <f t="shared" si="10"/>
        <v>0.42857142857142855</v>
      </c>
      <c r="P18" s="56" t="s">
        <v>5652</v>
      </c>
      <c r="Q18" s="56" t="s">
        <v>3093</v>
      </c>
      <c r="R18" s="56" t="s">
        <v>5557</v>
      </c>
      <c r="S18" s="56"/>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BA18" s="441">
        <f t="shared" si="0"/>
        <v>1</v>
      </c>
      <c r="BC18" s="141"/>
      <c r="BF18" s="141"/>
    </row>
    <row r="19" spans="1:58" s="140" customFormat="1" ht="12" customHeight="1" x14ac:dyDescent="0.15">
      <c r="A19" s="58" t="s">
        <v>2682</v>
      </c>
      <c r="B19" s="58" t="s">
        <v>2549</v>
      </c>
      <c r="C19" s="58" t="s">
        <v>2681</v>
      </c>
      <c r="D19" s="58" t="s">
        <v>973</v>
      </c>
      <c r="E19" s="58" t="s">
        <v>2609</v>
      </c>
      <c r="F19" s="137">
        <v>41219</v>
      </c>
      <c r="G19" s="138"/>
      <c r="H19" s="139">
        <v>10</v>
      </c>
      <c r="I19" s="139">
        <v>1</v>
      </c>
      <c r="J19" s="139">
        <v>3</v>
      </c>
      <c r="K19" s="139">
        <v>0</v>
      </c>
      <c r="L19" s="191">
        <f>25+425+85+25+25+2069+741+30+777+30</f>
        <v>4232</v>
      </c>
      <c r="M19" s="191">
        <f t="shared" si="8"/>
        <v>423.2</v>
      </c>
      <c r="N19" s="330">
        <f t="shared" si="9"/>
        <v>0.1</v>
      </c>
      <c r="O19" s="330">
        <f t="shared" si="10"/>
        <v>0.4</v>
      </c>
      <c r="P19" s="330" t="s">
        <v>5418</v>
      </c>
      <c r="Q19" s="330" t="s">
        <v>3364</v>
      </c>
      <c r="R19" s="56" t="s">
        <v>2680</v>
      </c>
      <c r="S19" s="56"/>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BA19" s="441">
        <f>IF(I19="","",IF(I19=0,0,1))</f>
        <v>1</v>
      </c>
      <c r="BC19" s="141"/>
      <c r="BF19" s="141"/>
    </row>
    <row r="20" spans="1:58" s="140" customFormat="1" ht="12" customHeight="1" x14ac:dyDescent="0.15">
      <c r="A20" s="58" t="s">
        <v>2672</v>
      </c>
      <c r="B20" s="58" t="s">
        <v>2549</v>
      </c>
      <c r="C20" s="58" t="s">
        <v>2671</v>
      </c>
      <c r="D20" s="58" t="s">
        <v>2670</v>
      </c>
      <c r="E20" s="58" t="s">
        <v>2667</v>
      </c>
      <c r="F20" s="137">
        <v>41122</v>
      </c>
      <c r="G20" s="138"/>
      <c r="H20" s="139">
        <v>13</v>
      </c>
      <c r="I20" s="139">
        <v>3</v>
      </c>
      <c r="J20" s="139">
        <v>2</v>
      </c>
      <c r="K20" s="139">
        <v>2</v>
      </c>
      <c r="L20" s="191">
        <f>455+244+2151+852+1272+336+99+219+3282+99+99+748+3310</f>
        <v>13166</v>
      </c>
      <c r="M20" s="191">
        <f t="shared" ref="M20:M27" si="11">IF(H20="","",L20/H20)</f>
        <v>1012.7692307692307</v>
      </c>
      <c r="N20" s="330">
        <f t="shared" si="9"/>
        <v>0.23076923076923078</v>
      </c>
      <c r="O20" s="330">
        <f t="shared" si="10"/>
        <v>0.53846153846153844</v>
      </c>
      <c r="P20" s="330" t="s">
        <v>5640</v>
      </c>
      <c r="Q20" s="330" t="s">
        <v>3093</v>
      </c>
      <c r="R20" s="56"/>
      <c r="S20" s="56"/>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BA20" s="441">
        <f t="shared" si="0"/>
        <v>1</v>
      </c>
      <c r="BC20" s="141"/>
      <c r="BF20" s="141"/>
    </row>
    <row r="21" spans="1:58" s="140" customFormat="1" ht="12" customHeight="1" x14ac:dyDescent="0.15">
      <c r="A21" s="58" t="s">
        <v>2663</v>
      </c>
      <c r="B21" s="58" t="s">
        <v>2580</v>
      </c>
      <c r="C21" s="58" t="s">
        <v>2662</v>
      </c>
      <c r="D21" s="58" t="s">
        <v>2661</v>
      </c>
      <c r="E21" s="58" t="s">
        <v>2609</v>
      </c>
      <c r="F21" s="137">
        <v>41156</v>
      </c>
      <c r="G21" s="138"/>
      <c r="H21" s="139">
        <v>11</v>
      </c>
      <c r="I21" s="139">
        <v>3</v>
      </c>
      <c r="J21" s="139">
        <v>1</v>
      </c>
      <c r="K21" s="139">
        <v>0</v>
      </c>
      <c r="L21" s="191">
        <f>230+2274+85+3435+99+260+1374+216+3335+364+237</f>
        <v>11909</v>
      </c>
      <c r="M21" s="191">
        <f>IF(H21="","",L21/H21)</f>
        <v>1082.6363636363637</v>
      </c>
      <c r="N21" s="330">
        <f t="shared" ref="N21:N27" si="12">IF(H21="","--",I21/H21)</f>
        <v>0.27272727272727271</v>
      </c>
      <c r="O21" s="330">
        <f t="shared" ref="O21:O27" si="13">IF(H21="","--",SUM(I21:K21)/H21)</f>
        <v>0.36363636363636365</v>
      </c>
      <c r="P21" s="56" t="s">
        <v>5640</v>
      </c>
      <c r="Q21" s="56" t="s">
        <v>3282</v>
      </c>
      <c r="R21" s="58" t="s">
        <v>2617</v>
      </c>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BA21" s="441">
        <f t="shared" ref="BA21:BA27" si="14">IF(I21="","",IF(I21=0,0,1))</f>
        <v>1</v>
      </c>
      <c r="BD21" s="141"/>
    </row>
    <row r="22" spans="1:58" s="140" customFormat="1" ht="12" customHeight="1" x14ac:dyDescent="0.15">
      <c r="A22" s="58" t="s">
        <v>2652</v>
      </c>
      <c r="B22" s="58" t="s">
        <v>2651</v>
      </c>
      <c r="C22" s="58" t="s">
        <v>2650</v>
      </c>
      <c r="D22" s="58" t="s">
        <v>2649</v>
      </c>
      <c r="E22" s="58" t="s">
        <v>2609</v>
      </c>
      <c r="F22" s="137">
        <v>41114</v>
      </c>
      <c r="G22" s="138"/>
      <c r="H22" s="139">
        <v>17</v>
      </c>
      <c r="I22" s="139">
        <v>1</v>
      </c>
      <c r="J22" s="139">
        <v>6</v>
      </c>
      <c r="K22" s="139">
        <v>3</v>
      </c>
      <c r="L22" s="191">
        <f>1165+582+282+258+55+30+257+372+673+1521+797+995+99+1116+379+30+1190</f>
        <v>9801</v>
      </c>
      <c r="M22" s="191">
        <f>IF(H22="","",L22/H22)</f>
        <v>576.52941176470586</v>
      </c>
      <c r="N22" s="330">
        <f>IF(H22="","--",I22/H22)</f>
        <v>5.8823529411764705E-2</v>
      </c>
      <c r="O22" s="330">
        <f>IF(H22="","--",SUM(I22:K22)/H22)</f>
        <v>0.58823529411764708</v>
      </c>
      <c r="P22" s="56" t="s">
        <v>5640</v>
      </c>
      <c r="Q22" s="330" t="s">
        <v>3282</v>
      </c>
      <c r="R22" s="56" t="s">
        <v>2648</v>
      </c>
      <c r="S22" s="56"/>
      <c r="T22" s="58"/>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BA22" s="441">
        <f>IF(I22="","",IF(I22=0,0,1))</f>
        <v>1</v>
      </c>
      <c r="BC22" s="141"/>
      <c r="BF22" s="141"/>
    </row>
    <row r="23" spans="1:58" s="140" customFormat="1" ht="12" customHeight="1" x14ac:dyDescent="0.15">
      <c r="A23" s="58" t="s">
        <v>2522</v>
      </c>
      <c r="B23" s="58" t="s">
        <v>2580</v>
      </c>
      <c r="C23" s="58" t="s">
        <v>2626</v>
      </c>
      <c r="D23" s="58" t="s">
        <v>2625</v>
      </c>
      <c r="E23" s="58" t="s">
        <v>2609</v>
      </c>
      <c r="F23" s="137">
        <v>41195</v>
      </c>
      <c r="G23" s="138"/>
      <c r="H23" s="139">
        <v>12</v>
      </c>
      <c r="I23" s="139">
        <v>1</v>
      </c>
      <c r="J23" s="139">
        <v>2</v>
      </c>
      <c r="K23" s="139">
        <v>1</v>
      </c>
      <c r="L23" s="191">
        <f>6511+2000+85+3577+4351+1148+85+85+55+85+99+99</f>
        <v>18180</v>
      </c>
      <c r="M23" s="191">
        <f>IF(H23="","",L23/H23)</f>
        <v>1515</v>
      </c>
      <c r="N23" s="330">
        <f>IF(H23="","--",I23/H23)</f>
        <v>8.3333333333333329E-2</v>
      </c>
      <c r="O23" s="330">
        <f>IF(H23="","--",SUM(I23:K23)/H23)</f>
        <v>0.33333333333333331</v>
      </c>
      <c r="P23" s="330" t="s">
        <v>5408</v>
      </c>
      <c r="Q23" s="330" t="s">
        <v>3093</v>
      </c>
      <c r="R23" s="56" t="s">
        <v>5558</v>
      </c>
      <c r="S23" s="56"/>
      <c r="T23" s="58"/>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BA23" s="441">
        <f>IF(I23="","",IF(I23=0,0,1))</f>
        <v>1</v>
      </c>
      <c r="BC23" s="141"/>
      <c r="BF23" s="141"/>
    </row>
    <row r="24" spans="1:58" s="140" customFormat="1" ht="12" customHeight="1" x14ac:dyDescent="0.15">
      <c r="A24" s="58" t="s">
        <v>2612</v>
      </c>
      <c r="B24" s="58" t="s">
        <v>2567</v>
      </c>
      <c r="C24" s="58" t="s">
        <v>2611</v>
      </c>
      <c r="D24" s="58" t="s">
        <v>2610</v>
      </c>
      <c r="E24" s="58" t="s">
        <v>2609</v>
      </c>
      <c r="F24" s="137">
        <v>41119</v>
      </c>
      <c r="G24" s="138"/>
      <c r="H24" s="139">
        <v>18</v>
      </c>
      <c r="I24" s="139">
        <v>3</v>
      </c>
      <c r="J24" s="139">
        <v>1</v>
      </c>
      <c r="K24" s="139">
        <v>3</v>
      </c>
      <c r="L24" s="191">
        <f>227+55+55+959+99+2263+4472+5333+561+99+99+65+99+343+871+783+99+30</f>
        <v>16512</v>
      </c>
      <c r="M24" s="191">
        <f t="shared" si="11"/>
        <v>917.33333333333337</v>
      </c>
      <c r="N24" s="330">
        <f t="shared" si="12"/>
        <v>0.16666666666666666</v>
      </c>
      <c r="O24" s="330">
        <f t="shared" si="13"/>
        <v>0.3888888888888889</v>
      </c>
      <c r="P24" s="56" t="s">
        <v>5732</v>
      </c>
      <c r="Q24" s="330" t="s">
        <v>3282</v>
      </c>
      <c r="R24" s="56" t="s">
        <v>5675</v>
      </c>
      <c r="S24" s="56"/>
      <c r="T24" s="58"/>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BA24" s="441">
        <f t="shared" si="14"/>
        <v>1</v>
      </c>
      <c r="BC24" s="141"/>
      <c r="BF24" s="141"/>
    </row>
    <row r="25" spans="1:58" s="140" customFormat="1" ht="12" customHeight="1" x14ac:dyDescent="0.15">
      <c r="A25" s="58" t="s">
        <v>2608</v>
      </c>
      <c r="B25" s="58" t="s">
        <v>2567</v>
      </c>
      <c r="C25" s="58" t="s">
        <v>2607</v>
      </c>
      <c r="D25" s="58" t="s">
        <v>2606</v>
      </c>
      <c r="E25" s="58" t="s">
        <v>2605</v>
      </c>
      <c r="F25" s="137">
        <v>41130</v>
      </c>
      <c r="G25" s="138"/>
      <c r="H25" s="139">
        <v>13</v>
      </c>
      <c r="I25" s="139">
        <v>1</v>
      </c>
      <c r="J25" s="139">
        <v>0</v>
      </c>
      <c r="K25" s="139">
        <v>2</v>
      </c>
      <c r="L25" s="191">
        <f>85+85+85+865+85+99+807+99+99+99+379+3676+99</f>
        <v>6562</v>
      </c>
      <c r="M25" s="191">
        <f>IF(H25="","",L25/H25)</f>
        <v>504.76923076923077</v>
      </c>
      <c r="N25" s="330">
        <f>IF(H25="","--",I25/H25)</f>
        <v>7.6923076923076927E-2</v>
      </c>
      <c r="O25" s="330">
        <f>IF(H25="","--",SUM(I25:K25)/H25)</f>
        <v>0.23076923076923078</v>
      </c>
      <c r="P25" s="56" t="s">
        <v>5182</v>
      </c>
      <c r="Q25" s="330" t="s">
        <v>3093</v>
      </c>
      <c r="R25" s="56" t="s">
        <v>2604</v>
      </c>
      <c r="S25" s="56"/>
      <c r="T25" s="58"/>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BA25" s="441">
        <f>IF(I25="","",IF(I25=0,0,1))</f>
        <v>1</v>
      </c>
      <c r="BC25" s="141"/>
      <c r="BF25" s="141"/>
    </row>
    <row r="26" spans="1:58" s="140" customFormat="1" ht="12" customHeight="1" x14ac:dyDescent="0.15">
      <c r="A26" s="58" t="s">
        <v>2599</v>
      </c>
      <c r="B26" s="58" t="s">
        <v>2598</v>
      </c>
      <c r="C26" s="58" t="s">
        <v>2597</v>
      </c>
      <c r="D26" s="58" t="s">
        <v>973</v>
      </c>
      <c r="E26" s="58" t="s">
        <v>2596</v>
      </c>
      <c r="F26" s="137">
        <v>41135</v>
      </c>
      <c r="G26" s="138"/>
      <c r="H26" s="139">
        <v>13</v>
      </c>
      <c r="I26" s="139">
        <v>1</v>
      </c>
      <c r="J26" s="139">
        <v>2</v>
      </c>
      <c r="K26" s="139">
        <v>3</v>
      </c>
      <c r="L26" s="191">
        <f>1580+4917+85+1566+99+294+881+99+420+99+723+99+757</f>
        <v>11619</v>
      </c>
      <c r="M26" s="191">
        <f t="shared" si="11"/>
        <v>893.76923076923072</v>
      </c>
      <c r="N26" s="330">
        <f t="shared" si="12"/>
        <v>7.6923076923076927E-2</v>
      </c>
      <c r="O26" s="330">
        <f t="shared" si="13"/>
        <v>0.46153846153846156</v>
      </c>
      <c r="P26" s="56" t="s">
        <v>5640</v>
      </c>
      <c r="Q26" s="56" t="s">
        <v>3093</v>
      </c>
      <c r="R26" s="58" t="s">
        <v>2595</v>
      </c>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BA26" s="441">
        <f t="shared" si="14"/>
        <v>1</v>
      </c>
      <c r="BD26" s="141"/>
    </row>
    <row r="27" spans="1:58" s="140" customFormat="1" ht="12" customHeight="1" x14ac:dyDescent="0.15">
      <c r="A27" s="58" t="s">
        <v>2573</v>
      </c>
      <c r="B27" s="58" t="s">
        <v>2572</v>
      </c>
      <c r="C27" s="58" t="s">
        <v>2571</v>
      </c>
      <c r="D27" s="58" t="s">
        <v>2570</v>
      </c>
      <c r="E27" s="58" t="s">
        <v>2569</v>
      </c>
      <c r="F27" s="137">
        <v>41189</v>
      </c>
      <c r="G27" s="138"/>
      <c r="H27" s="139">
        <v>12</v>
      </c>
      <c r="I27" s="139">
        <v>2</v>
      </c>
      <c r="J27" s="139">
        <v>4</v>
      </c>
      <c r="K27" s="139">
        <v>2</v>
      </c>
      <c r="L27" s="191">
        <f>841+269+1340+845+1327+3635+1438+3942+2874+99+99+99</f>
        <v>16808</v>
      </c>
      <c r="M27" s="191">
        <f t="shared" si="11"/>
        <v>1400.6666666666667</v>
      </c>
      <c r="N27" s="330">
        <f t="shared" si="12"/>
        <v>0.16666666666666666</v>
      </c>
      <c r="O27" s="330">
        <f t="shared" si="13"/>
        <v>0.66666666666666663</v>
      </c>
      <c r="P27" s="56" t="s">
        <v>5640</v>
      </c>
      <c r="Q27" s="330" t="s">
        <v>3093</v>
      </c>
      <c r="R27" s="56" t="s">
        <v>5552</v>
      </c>
      <c r="S27" s="56"/>
      <c r="T27" s="58"/>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BA27" s="441">
        <f t="shared" si="14"/>
        <v>1</v>
      </c>
      <c r="BC27" s="141"/>
      <c r="BF27" s="141"/>
    </row>
    <row r="28" spans="1:58" s="140" customFormat="1" ht="12" customHeight="1" x14ac:dyDescent="0.15">
      <c r="A28" s="58" t="s">
        <v>2554</v>
      </c>
      <c r="B28" s="58" t="s">
        <v>2549</v>
      </c>
      <c r="C28" s="58" t="s">
        <v>2553</v>
      </c>
      <c r="D28" s="58" t="s">
        <v>2552</v>
      </c>
      <c r="E28" s="58" t="s">
        <v>2551</v>
      </c>
      <c r="F28" s="137">
        <v>41153</v>
      </c>
      <c r="G28" s="138"/>
      <c r="H28" s="139">
        <v>14</v>
      </c>
      <c r="I28" s="139">
        <v>3</v>
      </c>
      <c r="J28" s="139">
        <v>1</v>
      </c>
      <c r="K28" s="139">
        <v>3</v>
      </c>
      <c r="L28" s="191">
        <f>721+85+2321+1340+379+4211+361+3721+4250+905+99+99+99+99</f>
        <v>18690</v>
      </c>
      <c r="M28" s="191">
        <f>IF(H28="","",L28/H28)</f>
        <v>1335</v>
      </c>
      <c r="N28" s="330">
        <f>IF(H28="","--",I28/H28)</f>
        <v>0.21428571428571427</v>
      </c>
      <c r="O28" s="330">
        <f>IF(H28="","--",SUM(I28:K28)/H28)</f>
        <v>0.5</v>
      </c>
      <c r="P28" s="56" t="s">
        <v>5603</v>
      </c>
      <c r="Q28" s="56" t="s">
        <v>3282</v>
      </c>
      <c r="R28" s="58"/>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BA28" s="441">
        <f>IF(I28="","",IF(I28=0,0,1))</f>
        <v>1</v>
      </c>
      <c r="BD28" s="141"/>
    </row>
    <row r="29" spans="1:58" s="90" customFormat="1" ht="12" customHeight="1" x14ac:dyDescent="0.15">
      <c r="A29" s="142" t="s">
        <v>2790</v>
      </c>
      <c r="B29" s="142" t="s">
        <v>2572</v>
      </c>
      <c r="C29" s="142" t="s">
        <v>2789</v>
      </c>
      <c r="D29" s="142" t="s">
        <v>2610</v>
      </c>
      <c r="E29" s="142" t="s">
        <v>2788</v>
      </c>
      <c r="F29" s="143">
        <v>41110</v>
      </c>
      <c r="G29" s="144"/>
      <c r="H29" s="145">
        <v>4</v>
      </c>
      <c r="I29" s="145">
        <v>0</v>
      </c>
      <c r="J29" s="145">
        <v>0</v>
      </c>
      <c r="K29" s="145">
        <v>0</v>
      </c>
      <c r="L29" s="146">
        <f>65+65+99+99</f>
        <v>328</v>
      </c>
      <c r="M29" s="146">
        <f>IF(H29="","",L29/H29)</f>
        <v>82</v>
      </c>
      <c r="N29" s="331">
        <f>IF(H29="","--",I29/H29)</f>
        <v>0</v>
      </c>
      <c r="O29" s="331">
        <f>IF(H29="","--",SUM(I29:K29)/H29)</f>
        <v>0</v>
      </c>
      <c r="P29" s="147" t="s">
        <v>5182</v>
      </c>
      <c r="Q29" s="147" t="s">
        <v>3093</v>
      </c>
      <c r="R29" s="142" t="s">
        <v>2787</v>
      </c>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BA29" s="441">
        <f>IF(I29="","",IF(I29=0,0,1))</f>
        <v>0</v>
      </c>
    </row>
    <row r="30" spans="1:58" s="90" customFormat="1" ht="12" customHeight="1" x14ac:dyDescent="0.15">
      <c r="A30" s="142" t="s">
        <v>2726</v>
      </c>
      <c r="B30" s="142" t="s">
        <v>2580</v>
      </c>
      <c r="C30" s="142" t="s">
        <v>2725</v>
      </c>
      <c r="D30" s="142" t="s">
        <v>2724</v>
      </c>
      <c r="E30" s="142" t="s">
        <v>2723</v>
      </c>
      <c r="F30" s="143">
        <v>41119</v>
      </c>
      <c r="G30" s="144"/>
      <c r="H30" s="145">
        <v>6</v>
      </c>
      <c r="I30" s="145">
        <v>0</v>
      </c>
      <c r="J30" s="145">
        <v>0</v>
      </c>
      <c r="K30" s="145">
        <v>0</v>
      </c>
      <c r="L30" s="146">
        <f>55+65+65+65+65+65</f>
        <v>380</v>
      </c>
      <c r="M30" s="146">
        <f>IF(H30="","",L30/H30)</f>
        <v>63.333333333333336</v>
      </c>
      <c r="N30" s="331">
        <f>IF(H30="","--",I30/H30)</f>
        <v>0</v>
      </c>
      <c r="O30" s="331">
        <f>IF(H30="","--",SUM(I30:K30)/H30)</f>
        <v>0</v>
      </c>
      <c r="P30" s="147" t="s">
        <v>5170</v>
      </c>
      <c r="Q30" s="147" t="s">
        <v>3282</v>
      </c>
      <c r="R30" s="142"/>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BA30" s="441">
        <f>IF(I30="","",IF(I30=0,0,1))</f>
        <v>0</v>
      </c>
    </row>
    <row r="31" spans="1:58" s="90" customFormat="1" ht="12" customHeight="1" x14ac:dyDescent="0.15">
      <c r="A31" s="142" t="s">
        <v>2722</v>
      </c>
      <c r="B31" s="142" t="s">
        <v>2567</v>
      </c>
      <c r="C31" s="142" t="s">
        <v>2721</v>
      </c>
      <c r="D31" s="142" t="s">
        <v>2661</v>
      </c>
      <c r="E31" s="142" t="s">
        <v>2609</v>
      </c>
      <c r="F31" s="143">
        <v>41132</v>
      </c>
      <c r="G31" s="144"/>
      <c r="H31" s="145">
        <v>3</v>
      </c>
      <c r="I31" s="145">
        <v>0</v>
      </c>
      <c r="J31" s="145">
        <v>0</v>
      </c>
      <c r="K31" s="145">
        <v>0</v>
      </c>
      <c r="L31" s="146">
        <f>85+99+99</f>
        <v>283</v>
      </c>
      <c r="M31" s="146">
        <f>IF(H31="","",L31/H31)</f>
        <v>94.333333333333329</v>
      </c>
      <c r="N31" s="331">
        <f>IF(H31="","--",I31/H31)</f>
        <v>0</v>
      </c>
      <c r="O31" s="331">
        <f>IF(H31="","--",SUM(I31:K31)/H31)</f>
        <v>0</v>
      </c>
      <c r="P31" s="147" t="s">
        <v>5640</v>
      </c>
      <c r="Q31" s="147" t="s">
        <v>3093</v>
      </c>
      <c r="R31" s="142" t="s">
        <v>2717</v>
      </c>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BA31" s="441">
        <f>IF(I31="","",IF(I31=0,0,1))</f>
        <v>0</v>
      </c>
    </row>
    <row r="32" spans="1:58" s="90" customFormat="1" ht="12" customHeight="1" x14ac:dyDescent="0.15">
      <c r="A32" s="142" t="s">
        <v>3493</v>
      </c>
      <c r="B32" s="142" t="s">
        <v>2549</v>
      </c>
      <c r="C32" s="142" t="s">
        <v>2741</v>
      </c>
      <c r="D32" s="142" t="s">
        <v>1702</v>
      </c>
      <c r="E32" s="142" t="s">
        <v>2609</v>
      </c>
      <c r="F32" s="143">
        <v>41172</v>
      </c>
      <c r="G32" s="144"/>
      <c r="H32" s="145">
        <v>9</v>
      </c>
      <c r="I32" s="145">
        <v>0</v>
      </c>
      <c r="J32" s="145">
        <v>1</v>
      </c>
      <c r="K32" s="145">
        <v>0</v>
      </c>
      <c r="L32" s="146">
        <f>85+85+85+30+30+30+30+30+30</f>
        <v>435</v>
      </c>
      <c r="M32" s="146">
        <f t="shared" ref="M32" si="15">IF(H32="","",L32/H32)</f>
        <v>48.333333333333336</v>
      </c>
      <c r="N32" s="331">
        <f t="shared" ref="N32" si="16">IF(H32="","--",I32/H32)</f>
        <v>0</v>
      </c>
      <c r="O32" s="331">
        <f t="shared" ref="O32" si="17">IF(H32="","--",SUM(I32:K32)/H32)</f>
        <v>0.1111111111111111</v>
      </c>
      <c r="P32" s="147" t="s">
        <v>5469</v>
      </c>
      <c r="Q32" s="147" t="s">
        <v>3093</v>
      </c>
      <c r="R32" s="142" t="s">
        <v>3495</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BA32" s="441">
        <f t="shared" ref="BA32" si="18">IF(I32="","",IF(I32=0,0,1))</f>
        <v>0</v>
      </c>
    </row>
    <row r="33" spans="1:56" s="90" customFormat="1" ht="12" customHeight="1" x14ac:dyDescent="0.15">
      <c r="A33" s="142" t="s">
        <v>2707</v>
      </c>
      <c r="B33" s="142" t="s">
        <v>2572</v>
      </c>
      <c r="C33" s="142" t="s">
        <v>2706</v>
      </c>
      <c r="D33" s="142" t="s">
        <v>2705</v>
      </c>
      <c r="E33" s="142" t="s">
        <v>2609</v>
      </c>
      <c r="F33" s="143">
        <v>41186</v>
      </c>
      <c r="G33" s="144"/>
      <c r="H33" s="145">
        <v>6</v>
      </c>
      <c r="I33" s="145">
        <v>0</v>
      </c>
      <c r="J33" s="145">
        <v>1</v>
      </c>
      <c r="K33" s="145">
        <v>0</v>
      </c>
      <c r="L33" s="146">
        <f>85+55+55+85+85+1025</f>
        <v>1390</v>
      </c>
      <c r="M33" s="146">
        <f>IF(H33="","",L33/H33)</f>
        <v>231.66666666666666</v>
      </c>
      <c r="N33" s="331">
        <f>IF(H33="","--",I33/H33)</f>
        <v>0</v>
      </c>
      <c r="O33" s="331">
        <f>IF(H33="","--",SUM(I33:K33)/H33)</f>
        <v>0.16666666666666666</v>
      </c>
      <c r="P33" s="147" t="s">
        <v>5733</v>
      </c>
      <c r="Q33" s="147" t="s">
        <v>3093</v>
      </c>
      <c r="R33" s="142" t="s">
        <v>2704</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BA33" s="441">
        <f>IF(I33="","",IF(I33=0,0,1))</f>
        <v>0</v>
      </c>
    </row>
    <row r="34" spans="1:56" s="90" customFormat="1" ht="12" customHeight="1" x14ac:dyDescent="0.15">
      <c r="A34" s="142" t="s">
        <v>2676</v>
      </c>
      <c r="B34" s="142" t="s">
        <v>2580</v>
      </c>
      <c r="C34" s="142" t="s">
        <v>2675</v>
      </c>
      <c r="D34" s="142" t="s">
        <v>2674</v>
      </c>
      <c r="E34" s="142" t="s">
        <v>2609</v>
      </c>
      <c r="F34" s="143">
        <v>41172</v>
      </c>
      <c r="G34" s="144"/>
      <c r="H34" s="145">
        <v>11</v>
      </c>
      <c r="I34" s="145">
        <v>0</v>
      </c>
      <c r="J34" s="145">
        <v>0</v>
      </c>
      <c r="K34" s="145">
        <v>1</v>
      </c>
      <c r="L34" s="146">
        <f>756+383+366+99+65+99+181+99+99+99+30</f>
        <v>2276</v>
      </c>
      <c r="M34" s="146">
        <f t="shared" ref="M34:M37" si="19">IF(H34="","",L34/H34)</f>
        <v>206.90909090909091</v>
      </c>
      <c r="N34" s="331">
        <f t="shared" ref="N34:N37" si="20">IF(H34="","--",I34/H34)</f>
        <v>0</v>
      </c>
      <c r="O34" s="331">
        <f t="shared" ref="O34:O37" si="21">IF(H34="","--",SUM(I34:K34)/H34)</f>
        <v>9.0909090909090912E-2</v>
      </c>
      <c r="P34" s="147" t="s">
        <v>5732</v>
      </c>
      <c r="Q34" s="147" t="s">
        <v>3093</v>
      </c>
      <c r="R34" s="142" t="s">
        <v>2673</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BA34" s="441">
        <f t="shared" ref="BA34:BA37" si="22">IF(I34="","",IF(I34=0,0,1))</f>
        <v>0</v>
      </c>
    </row>
    <row r="35" spans="1:56" s="90" customFormat="1" ht="12" customHeight="1" x14ac:dyDescent="0.15">
      <c r="A35" s="142" t="s">
        <v>3604</v>
      </c>
      <c r="B35" s="142" t="s">
        <v>2572</v>
      </c>
      <c r="C35" s="142" t="s">
        <v>2666</v>
      </c>
      <c r="D35" s="142" t="s">
        <v>2665</v>
      </c>
      <c r="E35" s="142" t="s">
        <v>2609</v>
      </c>
      <c r="F35" s="143">
        <v>41120</v>
      </c>
      <c r="G35" s="144"/>
      <c r="H35" s="145">
        <v>7</v>
      </c>
      <c r="I35" s="145">
        <v>0</v>
      </c>
      <c r="J35" s="145">
        <v>2</v>
      </c>
      <c r="K35" s="145">
        <v>1</v>
      </c>
      <c r="L35" s="146">
        <f>85+85+1124+856+1325+99+99</f>
        <v>3673</v>
      </c>
      <c r="M35" s="146">
        <f t="shared" si="19"/>
        <v>524.71428571428567</v>
      </c>
      <c r="N35" s="331">
        <f t="shared" si="20"/>
        <v>0</v>
      </c>
      <c r="O35" s="331">
        <f t="shared" si="21"/>
        <v>0.42857142857142855</v>
      </c>
      <c r="P35" s="147" t="s">
        <v>5408</v>
      </c>
      <c r="Q35" s="147" t="s">
        <v>3093</v>
      </c>
      <c r="R35" s="142" t="s">
        <v>2664</v>
      </c>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BA35" s="441">
        <f t="shared" si="22"/>
        <v>0</v>
      </c>
    </row>
    <row r="36" spans="1:56" s="90" customFormat="1" ht="12" customHeight="1" x14ac:dyDescent="0.15">
      <c r="A36" s="142" t="s">
        <v>2637</v>
      </c>
      <c r="B36" s="142" t="s">
        <v>2567</v>
      </c>
      <c r="C36" s="142" t="s">
        <v>2636</v>
      </c>
      <c r="D36" s="142" t="s">
        <v>2635</v>
      </c>
      <c r="E36" s="142" t="s">
        <v>2609</v>
      </c>
      <c r="F36" s="143">
        <v>41091</v>
      </c>
      <c r="G36" s="144"/>
      <c r="H36" s="145">
        <v>7</v>
      </c>
      <c r="I36" s="145">
        <v>0</v>
      </c>
      <c r="J36" s="145">
        <v>0</v>
      </c>
      <c r="K36" s="145">
        <v>1</v>
      </c>
      <c r="L36" s="146">
        <f>721+55+55+55+55+65+65</f>
        <v>1071</v>
      </c>
      <c r="M36" s="146">
        <f t="shared" si="19"/>
        <v>153</v>
      </c>
      <c r="N36" s="331">
        <f t="shared" si="20"/>
        <v>0</v>
      </c>
      <c r="O36" s="331">
        <f t="shared" si="21"/>
        <v>0.14285714285714285</v>
      </c>
      <c r="P36" s="147" t="s">
        <v>5172</v>
      </c>
      <c r="Q36" s="147" t="s">
        <v>3282</v>
      </c>
      <c r="R36" s="142" t="s">
        <v>2634</v>
      </c>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BA36" s="441">
        <f t="shared" si="22"/>
        <v>0</v>
      </c>
    </row>
    <row r="37" spans="1:56" s="90" customFormat="1" ht="12" customHeight="1" x14ac:dyDescent="0.15">
      <c r="A37" s="142" t="s">
        <v>2619</v>
      </c>
      <c r="B37" s="142" t="s">
        <v>2580</v>
      </c>
      <c r="C37" s="142" t="s">
        <v>2618</v>
      </c>
      <c r="D37" s="142" t="s">
        <v>2552</v>
      </c>
      <c r="E37" s="142" t="s">
        <v>2609</v>
      </c>
      <c r="F37" s="143">
        <v>41134</v>
      </c>
      <c r="G37" s="144"/>
      <c r="H37" s="145">
        <v>7</v>
      </c>
      <c r="I37" s="145">
        <v>0</v>
      </c>
      <c r="J37" s="145">
        <v>2</v>
      </c>
      <c r="K37" s="145">
        <v>2</v>
      </c>
      <c r="L37" s="146">
        <f>85+783+379+372+734+608+457</f>
        <v>3418</v>
      </c>
      <c r="M37" s="146">
        <f t="shared" si="19"/>
        <v>488.28571428571428</v>
      </c>
      <c r="N37" s="331">
        <f t="shared" si="20"/>
        <v>0</v>
      </c>
      <c r="O37" s="331">
        <f t="shared" si="21"/>
        <v>0.5714285714285714</v>
      </c>
      <c r="P37" s="147" t="s">
        <v>5652</v>
      </c>
      <c r="Q37" s="147" t="s">
        <v>3093</v>
      </c>
      <c r="R37" s="142" t="s">
        <v>2617</v>
      </c>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BA37" s="441">
        <f t="shared" si="22"/>
        <v>0</v>
      </c>
    </row>
    <row r="38" spans="1:56" s="90" customFormat="1" ht="12" customHeight="1" x14ac:dyDescent="0.15">
      <c r="A38" s="142" t="s">
        <v>2594</v>
      </c>
      <c r="B38" s="142" t="s">
        <v>2589</v>
      </c>
      <c r="C38" s="142" t="s">
        <v>2593</v>
      </c>
      <c r="D38" s="142" t="s">
        <v>2592</v>
      </c>
      <c r="E38" s="142" t="s">
        <v>3101</v>
      </c>
      <c r="F38" s="143">
        <v>41210</v>
      </c>
      <c r="G38" s="144"/>
      <c r="H38" s="145">
        <v>8</v>
      </c>
      <c r="I38" s="145">
        <v>0</v>
      </c>
      <c r="J38" s="145">
        <v>0</v>
      </c>
      <c r="K38" s="145">
        <v>1</v>
      </c>
      <c r="L38" s="146">
        <f>25+25+25+30+30+30+30+30</f>
        <v>225</v>
      </c>
      <c r="M38" s="146">
        <f>IF(H38="","",L38/H38)</f>
        <v>28.125</v>
      </c>
      <c r="N38" s="331">
        <f>IF(H38="","--",I38/H38)</f>
        <v>0</v>
      </c>
      <c r="O38" s="331">
        <f>IF(H38="","--",SUM(I38:K38)/H38)</f>
        <v>0.125</v>
      </c>
      <c r="P38" s="147" t="s">
        <v>5732</v>
      </c>
      <c r="Q38" s="147" t="s">
        <v>3364</v>
      </c>
      <c r="R38" s="142" t="s">
        <v>2591</v>
      </c>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BA38" s="441">
        <f>IF(I38="","",IF(I38=0,0,1))</f>
        <v>0</v>
      </c>
    </row>
    <row r="39" spans="1:56" s="90" customFormat="1" ht="12" customHeight="1" x14ac:dyDescent="0.15">
      <c r="A39" s="142" t="s">
        <v>2585</v>
      </c>
      <c r="B39" s="142" t="s">
        <v>2584</v>
      </c>
      <c r="C39" s="142" t="s">
        <v>2583</v>
      </c>
      <c r="D39" s="142" t="s">
        <v>2582</v>
      </c>
      <c r="E39" s="142" t="s">
        <v>2574</v>
      </c>
      <c r="F39" s="143">
        <v>41207</v>
      </c>
      <c r="G39" s="144"/>
      <c r="H39" s="145">
        <v>1</v>
      </c>
      <c r="I39" s="145">
        <v>0</v>
      </c>
      <c r="J39" s="145">
        <v>0</v>
      </c>
      <c r="K39" s="145">
        <v>0</v>
      </c>
      <c r="L39" s="146">
        <v>114</v>
      </c>
      <c r="M39" s="146">
        <f>IF(H39="","",L39/H39)</f>
        <v>114</v>
      </c>
      <c r="N39" s="331">
        <f>IF(H39="","--",I39/H39)</f>
        <v>0</v>
      </c>
      <c r="O39" s="331">
        <f>IF(H39="","--",SUM(I39:K39)/H39)</f>
        <v>0</v>
      </c>
      <c r="P39" s="147" t="s">
        <v>5652</v>
      </c>
      <c r="Q39" s="147" t="s">
        <v>3282</v>
      </c>
      <c r="R39" s="142"/>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BA39" s="441">
        <f>IF(I39="","",IF(I39=0,0,1))</f>
        <v>0</v>
      </c>
    </row>
    <row r="40" spans="1:56" s="90" customFormat="1" ht="12" customHeight="1" x14ac:dyDescent="0.15">
      <c r="A40" s="142" t="s">
        <v>2568</v>
      </c>
      <c r="B40" s="142" t="s">
        <v>2567</v>
      </c>
      <c r="C40" s="142" t="s">
        <v>2566</v>
      </c>
      <c r="D40" s="142" t="s">
        <v>2565</v>
      </c>
      <c r="E40" s="142" t="s">
        <v>2564</v>
      </c>
      <c r="F40" s="143">
        <v>41177</v>
      </c>
      <c r="G40" s="144"/>
      <c r="H40" s="145">
        <v>4</v>
      </c>
      <c r="I40" s="145">
        <v>0</v>
      </c>
      <c r="J40" s="145">
        <v>1</v>
      </c>
      <c r="K40" s="145">
        <v>0</v>
      </c>
      <c r="L40" s="146">
        <f>99+714+65+112</f>
        <v>990</v>
      </c>
      <c r="M40" s="146">
        <f>IF(H40="","",L40/H40)</f>
        <v>247.5</v>
      </c>
      <c r="N40" s="331">
        <f>IF(H40="","--",I40/H40)</f>
        <v>0</v>
      </c>
      <c r="O40" s="331">
        <f>IF(H40="","--",SUM(I40:K40)/H40)</f>
        <v>0.25</v>
      </c>
      <c r="P40" s="147" t="s">
        <v>5652</v>
      </c>
      <c r="Q40" s="147" t="s">
        <v>3282</v>
      </c>
      <c r="R40" s="142" t="s">
        <v>2563</v>
      </c>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BA40" s="441">
        <f>IF(I40="","",IF(I40=0,0,1))</f>
        <v>0</v>
      </c>
    </row>
    <row r="41" spans="1:56" s="90" customFormat="1" ht="12" customHeight="1" x14ac:dyDescent="0.15">
      <c r="A41" s="129"/>
      <c r="B41" s="51"/>
      <c r="C41" s="51"/>
      <c r="D41" s="51"/>
      <c r="E41" s="51"/>
      <c r="F41" s="85"/>
      <c r="G41" s="86"/>
      <c r="H41" s="348"/>
      <c r="I41" s="348"/>
      <c r="J41" s="348"/>
      <c r="K41" s="348"/>
      <c r="L41" s="86"/>
      <c r="M41" s="119"/>
      <c r="N41" s="333"/>
      <c r="O41" s="333"/>
      <c r="P41" s="349"/>
      <c r="Q41" s="349"/>
      <c r="R41" s="349"/>
      <c r="S41" s="55"/>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13"/>
      <c r="BA41" s="441" t="str">
        <f t="shared" ref="BA41:BA45" si="23">IF(I41="","",IF(I41=0,0,1))</f>
        <v/>
      </c>
    </row>
    <row r="42" spans="1:56" s="13" customFormat="1" ht="12" customHeight="1" x14ac:dyDescent="0.15">
      <c r="A42" s="110" t="s">
        <v>3773</v>
      </c>
      <c r="B42" s="6"/>
      <c r="C42" s="6"/>
      <c r="D42" s="6"/>
      <c r="E42" s="6"/>
      <c r="F42" s="101"/>
      <c r="G42" s="96"/>
      <c r="H42" s="103"/>
      <c r="I42" s="103"/>
      <c r="J42" s="103"/>
      <c r="K42" s="103"/>
      <c r="L42" s="100"/>
      <c r="M42" s="100"/>
      <c r="N42" s="334"/>
      <c r="O42" s="334"/>
      <c r="P42" s="149"/>
      <c r="Q42" s="149"/>
      <c r="R42" s="6"/>
      <c r="BA42" s="441" t="str">
        <f t="shared" si="23"/>
        <v/>
      </c>
    </row>
    <row r="43" spans="1:56" s="90" customFormat="1" ht="12" customHeight="1" x14ac:dyDescent="0.15">
      <c r="A43" s="142" t="s">
        <v>3772</v>
      </c>
      <c r="B43" s="142" t="s">
        <v>4223</v>
      </c>
      <c r="C43" s="142" t="s">
        <v>2739</v>
      </c>
      <c r="D43" s="142" t="s">
        <v>2738</v>
      </c>
      <c r="E43" s="142" t="s">
        <v>2609</v>
      </c>
      <c r="F43" s="143">
        <v>41133</v>
      </c>
      <c r="G43" s="144"/>
      <c r="H43" s="145">
        <v>5</v>
      </c>
      <c r="I43" s="145">
        <v>0</v>
      </c>
      <c r="J43" s="145">
        <v>0</v>
      </c>
      <c r="K43" s="145">
        <v>0</v>
      </c>
      <c r="L43" s="146">
        <f>941+1895+0+232+0</f>
        <v>3068</v>
      </c>
      <c r="M43" s="146">
        <f>IF(H43="","",L43/H43)</f>
        <v>613.6</v>
      </c>
      <c r="N43" s="331">
        <f>IF(H43="","--",I43/H43)</f>
        <v>0</v>
      </c>
      <c r="O43" s="331">
        <f>IF(H43="","--",SUM(I43:K43)/H43)</f>
        <v>0</v>
      </c>
      <c r="P43" s="147" t="s">
        <v>4616</v>
      </c>
      <c r="Q43" s="147" t="s">
        <v>1514</v>
      </c>
      <c r="R43" s="142" t="s">
        <v>3774</v>
      </c>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BA43" s="441">
        <f t="shared" si="23"/>
        <v>0</v>
      </c>
    </row>
    <row r="44" spans="1:56" s="90" customFormat="1" ht="12" customHeight="1" x14ac:dyDescent="0.15">
      <c r="A44" s="129"/>
      <c r="B44" s="51"/>
      <c r="C44" s="51"/>
      <c r="D44" s="51"/>
      <c r="E44" s="51"/>
      <c r="F44" s="85"/>
      <c r="G44" s="86"/>
      <c r="H44" s="348"/>
      <c r="I44" s="348"/>
      <c r="J44" s="348"/>
      <c r="K44" s="348"/>
      <c r="L44" s="86"/>
      <c r="M44" s="119"/>
      <c r="N44" s="333"/>
      <c r="O44" s="333"/>
      <c r="P44" s="349"/>
      <c r="Q44" s="349"/>
      <c r="R44" s="349"/>
      <c r="S44" s="55"/>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13"/>
      <c r="BA44" s="441" t="str">
        <f t="shared" si="23"/>
        <v/>
      </c>
    </row>
    <row r="45" spans="1:56" s="13" customFormat="1" ht="12" customHeight="1" x14ac:dyDescent="0.15">
      <c r="A45" s="110" t="s">
        <v>1699</v>
      </c>
      <c r="B45" s="6"/>
      <c r="C45" s="6"/>
      <c r="D45" s="6"/>
      <c r="E45" s="6"/>
      <c r="F45" s="101"/>
      <c r="G45" s="96"/>
      <c r="H45" s="103"/>
      <c r="I45" s="103"/>
      <c r="J45" s="103"/>
      <c r="K45" s="103"/>
      <c r="L45" s="100"/>
      <c r="M45" s="100"/>
      <c r="N45" s="334"/>
      <c r="O45" s="334"/>
      <c r="P45" s="149"/>
      <c r="Q45" s="149"/>
      <c r="R45" s="6"/>
      <c r="BA45" s="441" t="str">
        <f t="shared" si="23"/>
        <v/>
      </c>
    </row>
    <row r="46" spans="1:56" s="140" customFormat="1" ht="12" customHeight="1" x14ac:dyDescent="0.15">
      <c r="A46" s="58" t="s">
        <v>2679</v>
      </c>
      <c r="B46" s="58" t="s">
        <v>2567</v>
      </c>
      <c r="C46" s="58" t="s">
        <v>2678</v>
      </c>
      <c r="D46" s="58" t="s">
        <v>2677</v>
      </c>
      <c r="E46" s="58" t="s">
        <v>2609</v>
      </c>
      <c r="F46" s="137">
        <v>41184</v>
      </c>
      <c r="G46" s="138"/>
      <c r="H46" s="139">
        <v>4</v>
      </c>
      <c r="I46" s="139">
        <v>1</v>
      </c>
      <c r="J46" s="139">
        <v>1</v>
      </c>
      <c r="K46" s="139">
        <v>0</v>
      </c>
      <c r="L46" s="191">
        <f>4322+85+1478+99</f>
        <v>5984</v>
      </c>
      <c r="M46" s="191">
        <f t="shared" ref="M46:M51" si="24">IF(H46="","",L46/H46)</f>
        <v>1496</v>
      </c>
      <c r="N46" s="330">
        <f t="shared" ref="N46:N51" si="25">IF(H46="","--",I46/H46)</f>
        <v>0.25</v>
      </c>
      <c r="O46" s="330">
        <f t="shared" ref="O46:O51" si="26">IF(H46="","--",SUM(I46:K46)/H46)</f>
        <v>0.5</v>
      </c>
      <c r="P46" s="56" t="s">
        <v>4451</v>
      </c>
      <c r="Q46" s="56" t="s">
        <v>3093</v>
      </c>
      <c r="R46" s="58" t="s">
        <v>2533</v>
      </c>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BA46" s="441">
        <f t="shared" ref="BA46:BA51" si="27">IF(I46="","",IF(I46=0,0,1))</f>
        <v>1</v>
      </c>
      <c r="BD46" s="141"/>
    </row>
    <row r="47" spans="1:56" s="90" customFormat="1" ht="12" customHeight="1" x14ac:dyDescent="0.15">
      <c r="A47" s="142" t="s">
        <v>2793</v>
      </c>
      <c r="B47" s="142" t="s">
        <v>2572</v>
      </c>
      <c r="C47" s="142" t="s">
        <v>2792</v>
      </c>
      <c r="D47" s="142" t="s">
        <v>2791</v>
      </c>
      <c r="E47" s="142" t="s">
        <v>2546</v>
      </c>
      <c r="F47" s="143">
        <v>41194</v>
      </c>
      <c r="G47" s="144"/>
      <c r="H47" s="145">
        <v>4</v>
      </c>
      <c r="I47" s="145">
        <v>0</v>
      </c>
      <c r="J47" s="145">
        <v>0</v>
      </c>
      <c r="K47" s="145">
        <v>1</v>
      </c>
      <c r="L47" s="146">
        <f>99+99+739+99</f>
        <v>1036</v>
      </c>
      <c r="M47" s="146">
        <f t="shared" si="24"/>
        <v>259</v>
      </c>
      <c r="N47" s="331">
        <f t="shared" si="25"/>
        <v>0</v>
      </c>
      <c r="O47" s="331">
        <f t="shared" si="26"/>
        <v>0.25</v>
      </c>
      <c r="P47" s="147" t="s">
        <v>4451</v>
      </c>
      <c r="Q47" s="147" t="s">
        <v>3093</v>
      </c>
      <c r="R47" s="142"/>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BA47" s="441">
        <f t="shared" si="27"/>
        <v>0</v>
      </c>
    </row>
    <row r="48" spans="1:56" s="90" customFormat="1" ht="12" customHeight="1" x14ac:dyDescent="0.15">
      <c r="A48" s="142" t="s">
        <v>2558</v>
      </c>
      <c r="B48" s="142" t="s">
        <v>2549</v>
      </c>
      <c r="C48" s="142" t="s">
        <v>2557</v>
      </c>
      <c r="D48" s="142" t="s">
        <v>2556</v>
      </c>
      <c r="E48" s="142" t="s">
        <v>2555</v>
      </c>
      <c r="F48" s="143">
        <v>41163</v>
      </c>
      <c r="G48" s="144"/>
      <c r="H48" s="145">
        <v>9</v>
      </c>
      <c r="I48" s="145">
        <v>0</v>
      </c>
      <c r="J48" s="145">
        <v>0</v>
      </c>
      <c r="K48" s="145">
        <v>1</v>
      </c>
      <c r="L48" s="146">
        <f>25+25+55+85+55+25+25+30+30</f>
        <v>355</v>
      </c>
      <c r="M48" s="146">
        <f t="shared" si="24"/>
        <v>39.444444444444443</v>
      </c>
      <c r="N48" s="331">
        <f t="shared" si="25"/>
        <v>0</v>
      </c>
      <c r="O48" s="331">
        <f t="shared" si="26"/>
        <v>0.1111111111111111</v>
      </c>
      <c r="P48" s="147" t="s">
        <v>4469</v>
      </c>
      <c r="Q48" s="147" t="s">
        <v>3365</v>
      </c>
      <c r="R48" s="142"/>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BA48" s="441">
        <f t="shared" si="27"/>
        <v>0</v>
      </c>
    </row>
    <row r="49" spans="1:58" s="140" customFormat="1" ht="12" customHeight="1" x14ac:dyDescent="0.15">
      <c r="A49" s="58" t="s">
        <v>2762</v>
      </c>
      <c r="B49" s="58" t="s">
        <v>2580</v>
      </c>
      <c r="C49" s="58" t="s">
        <v>2761</v>
      </c>
      <c r="D49" s="58" t="s">
        <v>678</v>
      </c>
      <c r="E49" s="58" t="s">
        <v>2744</v>
      </c>
      <c r="F49" s="137">
        <v>41170</v>
      </c>
      <c r="G49" s="138"/>
      <c r="H49" s="139">
        <v>10</v>
      </c>
      <c r="I49" s="139">
        <v>1</v>
      </c>
      <c r="J49" s="139">
        <v>1</v>
      </c>
      <c r="K49" s="139">
        <v>1</v>
      </c>
      <c r="L49" s="191">
        <f>55+1022+340+225+0+725+2017+729+99+99</f>
        <v>5311</v>
      </c>
      <c r="M49" s="191">
        <f t="shared" si="24"/>
        <v>531.1</v>
      </c>
      <c r="N49" s="330">
        <f t="shared" si="25"/>
        <v>0.1</v>
      </c>
      <c r="O49" s="330">
        <f t="shared" si="26"/>
        <v>0.3</v>
      </c>
      <c r="P49" s="56" t="s">
        <v>4718</v>
      </c>
      <c r="Q49" s="330" t="s">
        <v>3282</v>
      </c>
      <c r="R49" s="56"/>
      <c r="S49" s="56"/>
      <c r="T49" s="58"/>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BA49" s="441">
        <f t="shared" si="27"/>
        <v>1</v>
      </c>
      <c r="BC49" s="141"/>
      <c r="BF49" s="141"/>
    </row>
    <row r="50" spans="1:58" s="140" customFormat="1" ht="12" customHeight="1" x14ac:dyDescent="0.15">
      <c r="A50" s="58" t="s">
        <v>2735</v>
      </c>
      <c r="B50" s="58" t="s">
        <v>2580</v>
      </c>
      <c r="C50" s="58" t="s">
        <v>2734</v>
      </c>
      <c r="D50" s="58" t="s">
        <v>2733</v>
      </c>
      <c r="E50" s="58" t="s">
        <v>2609</v>
      </c>
      <c r="F50" s="137">
        <v>41214</v>
      </c>
      <c r="G50" s="138"/>
      <c r="H50" s="139">
        <v>14</v>
      </c>
      <c r="I50" s="139">
        <v>5</v>
      </c>
      <c r="J50" s="139">
        <v>2</v>
      </c>
      <c r="K50" s="139">
        <v>4</v>
      </c>
      <c r="L50" s="191">
        <f>716+333+2347+882+2447+4033+443+2057+1165+15941+22945+8615+1047+65</f>
        <v>63036</v>
      </c>
      <c r="M50" s="191">
        <f t="shared" si="24"/>
        <v>4502.5714285714284</v>
      </c>
      <c r="N50" s="330">
        <f t="shared" si="25"/>
        <v>0.35714285714285715</v>
      </c>
      <c r="O50" s="330">
        <f t="shared" si="26"/>
        <v>0.7857142857142857</v>
      </c>
      <c r="P50" s="56" t="s">
        <v>4824</v>
      </c>
      <c r="Q50" s="330" t="s">
        <v>3282</v>
      </c>
      <c r="R50" s="56" t="s">
        <v>5550</v>
      </c>
      <c r="S50" s="56"/>
      <c r="T50" s="58"/>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BA50" s="441">
        <f t="shared" si="27"/>
        <v>1</v>
      </c>
      <c r="BC50" s="141"/>
      <c r="BF50" s="141"/>
    </row>
    <row r="51" spans="1:58" s="90" customFormat="1" ht="12" customHeight="1" x14ac:dyDescent="0.15">
      <c r="A51" s="142" t="s">
        <v>2729</v>
      </c>
      <c r="B51" s="142" t="s">
        <v>2567</v>
      </c>
      <c r="C51" s="142" t="s">
        <v>2728</v>
      </c>
      <c r="D51" s="142" t="s">
        <v>2649</v>
      </c>
      <c r="E51" s="142" t="s">
        <v>2609</v>
      </c>
      <c r="F51" s="143">
        <v>41226</v>
      </c>
      <c r="G51" s="144"/>
      <c r="H51" s="145">
        <v>4</v>
      </c>
      <c r="I51" s="145">
        <v>0</v>
      </c>
      <c r="J51" s="145">
        <v>0</v>
      </c>
      <c r="K51" s="145">
        <v>0</v>
      </c>
      <c r="L51" s="146">
        <f>99+99+99+368</f>
        <v>665</v>
      </c>
      <c r="M51" s="146">
        <f t="shared" si="24"/>
        <v>166.25</v>
      </c>
      <c r="N51" s="331">
        <f t="shared" si="25"/>
        <v>0</v>
      </c>
      <c r="O51" s="331">
        <f t="shared" si="26"/>
        <v>0</v>
      </c>
      <c r="P51" s="147" t="s">
        <v>4718</v>
      </c>
      <c r="Q51" s="147"/>
      <c r="R51" s="142" t="s">
        <v>2727</v>
      </c>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BA51" s="441">
        <f t="shared" si="27"/>
        <v>0</v>
      </c>
    </row>
    <row r="52" spans="1:58" s="90" customFormat="1" ht="12" customHeight="1" x14ac:dyDescent="0.15">
      <c r="A52" s="142" t="s">
        <v>2768</v>
      </c>
      <c r="B52" s="142" t="s">
        <v>2580</v>
      </c>
      <c r="C52" s="142" t="s">
        <v>2767</v>
      </c>
      <c r="D52" s="142" t="s">
        <v>2766</v>
      </c>
      <c r="E52" s="142" t="s">
        <v>2744</v>
      </c>
      <c r="F52" s="143">
        <v>41149</v>
      </c>
      <c r="G52" s="144"/>
      <c r="H52" s="145">
        <v>2</v>
      </c>
      <c r="I52" s="145">
        <v>0</v>
      </c>
      <c r="J52" s="145">
        <v>2</v>
      </c>
      <c r="K52" s="145">
        <v>0</v>
      </c>
      <c r="L52" s="146">
        <f>596+681</f>
        <v>1277</v>
      </c>
      <c r="M52" s="146">
        <f>IF(H52="","",L52/H52)</f>
        <v>638.5</v>
      </c>
      <c r="N52" s="331">
        <f>IF(H52="","--",I52/H52)</f>
        <v>0</v>
      </c>
      <c r="O52" s="331">
        <f>IF(H52="","--",SUM(I52:K52)/H52)</f>
        <v>1</v>
      </c>
      <c r="P52" s="147" t="s">
        <v>5048</v>
      </c>
      <c r="Q52" s="147" t="s">
        <v>3282</v>
      </c>
      <c r="R52" s="142"/>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BA52" s="441">
        <f>IF(I52="","",IF(I52=0,0,1))</f>
        <v>0</v>
      </c>
    </row>
    <row r="53" spans="1:58" s="90" customFormat="1" ht="12" customHeight="1" x14ac:dyDescent="0.15">
      <c r="A53" s="142" t="s">
        <v>2616</v>
      </c>
      <c r="B53" s="142" t="s">
        <v>2580</v>
      </c>
      <c r="C53" s="142" t="s">
        <v>2615</v>
      </c>
      <c r="D53" s="142" t="s">
        <v>2614</v>
      </c>
      <c r="E53" s="142" t="s">
        <v>2609</v>
      </c>
      <c r="F53" s="143">
        <v>41101</v>
      </c>
      <c r="G53" s="144"/>
      <c r="H53" s="145">
        <v>5</v>
      </c>
      <c r="I53" s="145">
        <v>0</v>
      </c>
      <c r="J53" s="145">
        <v>0</v>
      </c>
      <c r="K53" s="145">
        <v>0</v>
      </c>
      <c r="L53" s="146">
        <f>85+55+99+99+99</f>
        <v>437</v>
      </c>
      <c r="M53" s="146">
        <f>IF(H53="","",L53/H53)</f>
        <v>87.4</v>
      </c>
      <c r="N53" s="331">
        <f>IF(H53="","--",I53/H53)</f>
        <v>0</v>
      </c>
      <c r="O53" s="331">
        <f>IF(H53="","--",SUM(I53:K53)/H53)</f>
        <v>0</v>
      </c>
      <c r="P53" s="147" t="s">
        <v>5042</v>
      </c>
      <c r="Q53" s="147" t="s">
        <v>3093</v>
      </c>
      <c r="R53" s="142" t="s">
        <v>2613</v>
      </c>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BA53" s="441">
        <f>IF(I53="","",IF(I53=0,0,1))</f>
        <v>0</v>
      </c>
    </row>
    <row r="54" spans="1:58" s="390" customFormat="1" ht="12" customHeight="1" x14ac:dyDescent="0.15">
      <c r="A54" s="396"/>
      <c r="B54" s="396"/>
      <c r="C54" s="396"/>
      <c r="D54" s="396"/>
      <c r="E54" s="396"/>
      <c r="F54" s="382"/>
      <c r="G54" s="398"/>
      <c r="H54" s="384"/>
      <c r="I54" s="384"/>
      <c r="J54" s="384"/>
      <c r="K54" s="384"/>
      <c r="L54" s="442"/>
      <c r="M54" s="395"/>
      <c r="N54" s="509"/>
      <c r="O54" s="509"/>
      <c r="P54" s="356"/>
      <c r="Q54" s="356"/>
      <c r="R54" s="504"/>
      <c r="S54" s="393"/>
      <c r="T54" s="392"/>
      <c r="U54" s="392"/>
      <c r="V54" s="392"/>
      <c r="W54" s="392"/>
      <c r="X54" s="392"/>
      <c r="Y54" s="392"/>
      <c r="Z54" s="392"/>
      <c r="AA54" s="392"/>
      <c r="AB54" s="392"/>
      <c r="AC54" s="392"/>
      <c r="AD54" s="392"/>
      <c r="AE54" s="392"/>
      <c r="AF54" s="392"/>
      <c r="AG54" s="392"/>
      <c r="AH54" s="392"/>
      <c r="AI54" s="392"/>
      <c r="AJ54" s="392"/>
      <c r="AK54" s="392"/>
      <c r="AL54" s="392"/>
      <c r="AM54" s="392"/>
      <c r="AN54" s="392"/>
      <c r="AO54" s="392"/>
      <c r="AP54" s="392"/>
      <c r="AQ54" s="392"/>
      <c r="AR54" s="392"/>
      <c r="AS54" s="392"/>
      <c r="AT54" s="392"/>
      <c r="AU54" s="373"/>
      <c r="BA54" s="441" t="str">
        <f t="shared" ref="BA54:BA80" si="28">IF(I54="","",IF(I54=0,0,1))</f>
        <v/>
      </c>
    </row>
    <row r="55" spans="1:58" s="390" customFormat="1" ht="12" customHeight="1" x14ac:dyDescent="0.15">
      <c r="A55" s="110" t="s">
        <v>1698</v>
      </c>
      <c r="B55" s="396"/>
      <c r="C55" s="396"/>
      <c r="D55" s="396"/>
      <c r="E55" s="396"/>
      <c r="F55" s="382"/>
      <c r="G55" s="398"/>
      <c r="H55" s="384"/>
      <c r="I55" s="384"/>
      <c r="J55" s="384"/>
      <c r="K55" s="384"/>
      <c r="L55" s="442"/>
      <c r="M55" s="395"/>
      <c r="N55" s="509"/>
      <c r="O55" s="509"/>
      <c r="P55" s="356"/>
      <c r="Q55" s="356"/>
      <c r="R55" s="504"/>
      <c r="S55" s="393"/>
      <c r="T55" s="392"/>
      <c r="U55" s="392"/>
      <c r="V55" s="392"/>
      <c r="W55" s="392"/>
      <c r="X55" s="392"/>
      <c r="Y55" s="392"/>
      <c r="Z55" s="392"/>
      <c r="AA55" s="392"/>
      <c r="AB55" s="392"/>
      <c r="AC55" s="392"/>
      <c r="AD55" s="392"/>
      <c r="AE55" s="392"/>
      <c r="AF55" s="392"/>
      <c r="AG55" s="392"/>
      <c r="AH55" s="392"/>
      <c r="AI55" s="392"/>
      <c r="AJ55" s="392"/>
      <c r="AK55" s="392"/>
      <c r="AL55" s="392"/>
      <c r="AM55" s="392"/>
      <c r="AN55" s="392"/>
      <c r="AO55" s="392"/>
      <c r="AP55" s="392"/>
      <c r="AQ55" s="392"/>
      <c r="AR55" s="392"/>
      <c r="AS55" s="392"/>
      <c r="AT55" s="392"/>
      <c r="AU55" s="373"/>
      <c r="BA55" s="441" t="str">
        <f t="shared" si="28"/>
        <v/>
      </c>
    </row>
    <row r="56" spans="1:58" s="90" customFormat="1" ht="12" customHeight="1" x14ac:dyDescent="0.15">
      <c r="A56" s="142" t="s">
        <v>2550</v>
      </c>
      <c r="B56" s="142" t="s">
        <v>2549</v>
      </c>
      <c r="C56" s="142" t="s">
        <v>2548</v>
      </c>
      <c r="D56" s="142" t="s">
        <v>2547</v>
      </c>
      <c r="E56" s="142" t="s">
        <v>2546</v>
      </c>
      <c r="F56" s="143">
        <v>41194</v>
      </c>
      <c r="G56" s="144"/>
      <c r="H56" s="145">
        <v>1</v>
      </c>
      <c r="I56" s="145">
        <v>0</v>
      </c>
      <c r="J56" s="145">
        <v>0</v>
      </c>
      <c r="K56" s="145">
        <v>0</v>
      </c>
      <c r="L56" s="146">
        <v>85</v>
      </c>
      <c r="M56" s="146">
        <f>IF(H56="","",L56/H56)</f>
        <v>85</v>
      </c>
      <c r="N56" s="331">
        <f>IF(H56="","--",I56/H56)</f>
        <v>0</v>
      </c>
      <c r="O56" s="331">
        <f>IF(H56="","--",SUM(I56:K56)/H56)</f>
        <v>0</v>
      </c>
      <c r="P56" s="147" t="s">
        <v>3589</v>
      </c>
      <c r="Q56" s="147" t="s">
        <v>3093</v>
      </c>
      <c r="R56" s="142"/>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BA56" s="441">
        <f t="shared" ref="BA56:BA57" si="29">IF(I56="","",IF(I56=0,0,1))</f>
        <v>0</v>
      </c>
    </row>
    <row r="57" spans="1:58" s="90" customFormat="1" ht="12" customHeight="1" x14ac:dyDescent="0.15">
      <c r="A57" s="142" t="s">
        <v>2803</v>
      </c>
      <c r="B57" s="142" t="s">
        <v>2567</v>
      </c>
      <c r="C57" s="142" t="s">
        <v>2802</v>
      </c>
      <c r="D57" s="142" t="s">
        <v>2582</v>
      </c>
      <c r="E57" s="142" t="s">
        <v>2609</v>
      </c>
      <c r="F57" s="143">
        <v>41192</v>
      </c>
      <c r="G57" s="144"/>
      <c r="H57" s="145">
        <v>3</v>
      </c>
      <c r="I57" s="145">
        <v>0</v>
      </c>
      <c r="J57" s="145">
        <v>0</v>
      </c>
      <c r="K57" s="145">
        <v>1</v>
      </c>
      <c r="L57" s="146">
        <f>530+85+385</f>
        <v>1000</v>
      </c>
      <c r="M57" s="146">
        <f>IF(H57="","",L57/H57)</f>
        <v>333.33333333333331</v>
      </c>
      <c r="N57" s="331">
        <f>IF(H57="","--",I57/H57)</f>
        <v>0</v>
      </c>
      <c r="O57" s="331">
        <f>IF(H57="","--",SUM(I57:K57)/H57)</f>
        <v>0.33333333333333331</v>
      </c>
      <c r="P57" s="147" t="s">
        <v>3635</v>
      </c>
      <c r="Q57" s="147" t="s">
        <v>3282</v>
      </c>
      <c r="R57" s="142" t="s">
        <v>2801</v>
      </c>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BA57" s="441">
        <f t="shared" si="29"/>
        <v>0</v>
      </c>
    </row>
    <row r="58" spans="1:58" s="140" customFormat="1" ht="12" customHeight="1" x14ac:dyDescent="0.15">
      <c r="A58" s="58" t="s">
        <v>3492</v>
      </c>
      <c r="B58" s="58" t="s">
        <v>2549</v>
      </c>
      <c r="C58" s="58" t="s">
        <v>2737</v>
      </c>
      <c r="D58" s="58" t="s">
        <v>2736</v>
      </c>
      <c r="E58" s="58" t="s">
        <v>2609</v>
      </c>
      <c r="F58" s="137">
        <v>41142</v>
      </c>
      <c r="G58" s="138"/>
      <c r="H58" s="139">
        <v>6</v>
      </c>
      <c r="I58" s="139">
        <v>1</v>
      </c>
      <c r="J58" s="139">
        <v>0</v>
      </c>
      <c r="K58" s="139">
        <v>0</v>
      </c>
      <c r="L58" s="191">
        <f>55+25+55+2160+99+362</f>
        <v>2756</v>
      </c>
      <c r="M58" s="191">
        <f t="shared" ref="M58:M60" si="30">IF(H58="","",L58/H58)</f>
        <v>459.33333333333331</v>
      </c>
      <c r="N58" s="330">
        <f t="shared" ref="N58:N60" si="31">IF(H58="","--",I58/H58)</f>
        <v>0.16666666666666666</v>
      </c>
      <c r="O58" s="330">
        <f t="shared" ref="O58:O60" si="32">IF(H58="","--",SUM(I58:K58)/H58)</f>
        <v>0.16666666666666666</v>
      </c>
      <c r="P58" s="56" t="s">
        <v>3742</v>
      </c>
      <c r="Q58" s="330" t="s">
        <v>3503</v>
      </c>
      <c r="R58" s="56" t="s">
        <v>3494</v>
      </c>
      <c r="S58" s="56"/>
      <c r="T58" s="58"/>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BA58" s="441">
        <f t="shared" ref="BA58:BA60" si="33">IF(I58="","",IF(I58=0,0,1))</f>
        <v>1</v>
      </c>
      <c r="BC58" s="141"/>
      <c r="BF58" s="141"/>
    </row>
    <row r="59" spans="1:58" s="140" customFormat="1" ht="12" customHeight="1" x14ac:dyDescent="0.15">
      <c r="A59" s="58" t="s">
        <v>2700</v>
      </c>
      <c r="B59" s="58" t="s">
        <v>2580</v>
      </c>
      <c r="C59" s="58" t="s">
        <v>2699</v>
      </c>
      <c r="D59" s="58" t="s">
        <v>2698</v>
      </c>
      <c r="E59" s="58" t="s">
        <v>2609</v>
      </c>
      <c r="F59" s="137">
        <v>41210</v>
      </c>
      <c r="G59" s="138"/>
      <c r="H59" s="139">
        <v>4</v>
      </c>
      <c r="I59" s="139">
        <v>1</v>
      </c>
      <c r="J59" s="139">
        <v>1</v>
      </c>
      <c r="K59" s="139">
        <v>1</v>
      </c>
      <c r="L59" s="191">
        <f>4212+85+1162+945</f>
        <v>6404</v>
      </c>
      <c r="M59" s="191">
        <f t="shared" si="30"/>
        <v>1601</v>
      </c>
      <c r="N59" s="330">
        <f t="shared" si="31"/>
        <v>0.25</v>
      </c>
      <c r="O59" s="330">
        <f t="shared" si="32"/>
        <v>0.75</v>
      </c>
      <c r="P59" s="330" t="s">
        <v>3742</v>
      </c>
      <c r="Q59" s="56" t="s">
        <v>3093</v>
      </c>
      <c r="R59" s="58" t="s">
        <v>3368</v>
      </c>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BA59" s="441">
        <f t="shared" si="33"/>
        <v>1</v>
      </c>
      <c r="BD59" s="141"/>
    </row>
    <row r="60" spans="1:58" s="90" customFormat="1" ht="12" customHeight="1" x14ac:dyDescent="0.15">
      <c r="A60" s="142" t="s">
        <v>2656</v>
      </c>
      <c r="B60" s="142" t="s">
        <v>2549</v>
      </c>
      <c r="C60" s="142" t="s">
        <v>2655</v>
      </c>
      <c r="D60" s="142" t="s">
        <v>2654</v>
      </c>
      <c r="E60" s="142" t="s">
        <v>2609</v>
      </c>
      <c r="F60" s="143">
        <v>41211</v>
      </c>
      <c r="G60" s="144"/>
      <c r="H60" s="145">
        <v>4</v>
      </c>
      <c r="I60" s="145">
        <v>0</v>
      </c>
      <c r="J60" s="145">
        <v>0</v>
      </c>
      <c r="K60" s="145">
        <v>0</v>
      </c>
      <c r="L60" s="146">
        <f>85+85+99</f>
        <v>269</v>
      </c>
      <c r="M60" s="146">
        <f t="shared" si="30"/>
        <v>67.25</v>
      </c>
      <c r="N60" s="331">
        <f t="shared" si="31"/>
        <v>0</v>
      </c>
      <c r="O60" s="331">
        <f t="shared" si="32"/>
        <v>0</v>
      </c>
      <c r="P60" s="147" t="s">
        <v>3742</v>
      </c>
      <c r="Q60" s="147" t="s">
        <v>3093</v>
      </c>
      <c r="R60" s="142" t="s">
        <v>2653</v>
      </c>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BA60" s="441">
        <f t="shared" si="33"/>
        <v>0</v>
      </c>
    </row>
    <row r="61" spans="1:58" s="140" customFormat="1" ht="12" customHeight="1" x14ac:dyDescent="0.15">
      <c r="A61" s="58" t="s">
        <v>2703</v>
      </c>
      <c r="B61" s="58" t="s">
        <v>2572</v>
      </c>
      <c r="C61" s="58" t="s">
        <v>2702</v>
      </c>
      <c r="D61" s="58" t="s">
        <v>2701</v>
      </c>
      <c r="E61" s="58" t="s">
        <v>2609</v>
      </c>
      <c r="F61" s="137">
        <v>41134</v>
      </c>
      <c r="G61" s="138"/>
      <c r="H61" s="139">
        <v>11</v>
      </c>
      <c r="I61" s="139">
        <v>1</v>
      </c>
      <c r="J61" s="139">
        <v>1</v>
      </c>
      <c r="K61" s="139">
        <v>1</v>
      </c>
      <c r="L61" s="191">
        <f>85+422+2503+1253+421+3829+85+99+99+99+99</f>
        <v>8994</v>
      </c>
      <c r="M61" s="191">
        <f t="shared" ref="M61:M63" si="34">IF(H61="","",L61/H61)</f>
        <v>817.63636363636363</v>
      </c>
      <c r="N61" s="330">
        <f t="shared" ref="N61:N63" si="35">IF(H61="","--",I61/H61)</f>
        <v>9.0909090909090912E-2</v>
      </c>
      <c r="O61" s="330">
        <f t="shared" ref="O61:O63" si="36">IF(H61="","--",SUM(I61:K61)/H61)</f>
        <v>0.27272727272727271</v>
      </c>
      <c r="P61" s="330" t="s">
        <v>4266</v>
      </c>
      <c r="Q61" s="330" t="s">
        <v>3093</v>
      </c>
      <c r="R61" s="56" t="s">
        <v>2664</v>
      </c>
      <c r="S61" s="56"/>
      <c r="T61" s="58"/>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BA61" s="441">
        <f t="shared" ref="BA61:BA63" si="37">IF(I61="","",IF(I61=0,0,1))</f>
        <v>1</v>
      </c>
      <c r="BC61" s="141"/>
      <c r="BF61" s="141"/>
    </row>
    <row r="62" spans="1:58" s="140" customFormat="1" ht="12" customHeight="1" x14ac:dyDescent="0.15">
      <c r="A62" s="58" t="s">
        <v>2633</v>
      </c>
      <c r="B62" s="58" t="s">
        <v>2572</v>
      </c>
      <c r="C62" s="58" t="s">
        <v>2632</v>
      </c>
      <c r="D62" s="58" t="s">
        <v>2541</v>
      </c>
      <c r="E62" s="58" t="s">
        <v>2609</v>
      </c>
      <c r="F62" s="137">
        <v>41216</v>
      </c>
      <c r="G62" s="138"/>
      <c r="H62" s="139">
        <v>8</v>
      </c>
      <c r="I62" s="139">
        <v>1</v>
      </c>
      <c r="J62" s="139">
        <v>0</v>
      </c>
      <c r="K62" s="139">
        <v>0</v>
      </c>
      <c r="L62" s="191">
        <f>639+85+85+85+99+3814+265+99</f>
        <v>5171</v>
      </c>
      <c r="M62" s="191">
        <f t="shared" si="34"/>
        <v>646.375</v>
      </c>
      <c r="N62" s="330">
        <f t="shared" si="35"/>
        <v>0.125</v>
      </c>
      <c r="O62" s="330">
        <f t="shared" si="36"/>
        <v>0.125</v>
      </c>
      <c r="P62" s="56" t="s">
        <v>4266</v>
      </c>
      <c r="Q62" s="330" t="s">
        <v>3093</v>
      </c>
      <c r="R62" s="56" t="s">
        <v>2631</v>
      </c>
      <c r="S62" s="56"/>
      <c r="T62" s="58"/>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BA62" s="441">
        <f t="shared" si="37"/>
        <v>1</v>
      </c>
      <c r="BC62" s="141"/>
      <c r="BF62" s="141"/>
    </row>
    <row r="63" spans="1:58" s="140" customFormat="1" ht="12" customHeight="1" x14ac:dyDescent="0.15">
      <c r="A63" s="58" t="s">
        <v>2622</v>
      </c>
      <c r="B63" s="58" t="s">
        <v>2549</v>
      </c>
      <c r="C63" s="58" t="s">
        <v>2621</v>
      </c>
      <c r="D63" s="58" t="s">
        <v>973</v>
      </c>
      <c r="E63" s="58" t="s">
        <v>2609</v>
      </c>
      <c r="F63" s="137">
        <v>41209</v>
      </c>
      <c r="G63" s="138"/>
      <c r="H63" s="139">
        <v>11</v>
      </c>
      <c r="I63" s="139">
        <v>1</v>
      </c>
      <c r="J63" s="139">
        <v>0</v>
      </c>
      <c r="K63" s="139">
        <v>2</v>
      </c>
      <c r="L63" s="191">
        <f>85+85+531+258+55+232+55+99+381+99+3395</f>
        <v>5275</v>
      </c>
      <c r="M63" s="191">
        <f t="shared" si="34"/>
        <v>479.54545454545456</v>
      </c>
      <c r="N63" s="330">
        <f t="shared" si="35"/>
        <v>9.0909090909090912E-2</v>
      </c>
      <c r="O63" s="330">
        <f t="shared" si="36"/>
        <v>0.27272727272727271</v>
      </c>
      <c r="P63" s="56" t="s">
        <v>4266</v>
      </c>
      <c r="Q63" s="330" t="s">
        <v>3093</v>
      </c>
      <c r="R63" s="56" t="s">
        <v>2620</v>
      </c>
      <c r="S63" s="56"/>
      <c r="T63" s="58"/>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BA63" s="441">
        <f t="shared" si="37"/>
        <v>1</v>
      </c>
      <c r="BC63" s="141"/>
      <c r="BF63" s="141"/>
    </row>
    <row r="64" spans="1:58" s="390" customFormat="1" ht="12" customHeight="1" x14ac:dyDescent="0.15">
      <c r="A64" s="396"/>
      <c r="B64" s="396"/>
      <c r="C64" s="396"/>
      <c r="D64" s="396"/>
      <c r="E64" s="396"/>
      <c r="F64" s="382"/>
      <c r="G64" s="398"/>
      <c r="H64" s="384"/>
      <c r="I64" s="384"/>
      <c r="J64" s="384"/>
      <c r="K64" s="384"/>
      <c r="L64" s="442"/>
      <c r="M64" s="395"/>
      <c r="N64" s="509"/>
      <c r="O64" s="509"/>
      <c r="P64" s="356"/>
      <c r="Q64" s="356"/>
      <c r="R64" s="504"/>
      <c r="S64" s="393"/>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73"/>
      <c r="BA64" s="441" t="str">
        <f t="shared" si="28"/>
        <v/>
      </c>
    </row>
    <row r="65" spans="1:56" s="13" customFormat="1" ht="12" customHeight="1" x14ac:dyDescent="0.15">
      <c r="A65" s="110" t="s">
        <v>1696</v>
      </c>
      <c r="B65" s="6"/>
      <c r="C65" s="6"/>
      <c r="D65" s="6"/>
      <c r="E65" s="6"/>
      <c r="F65" s="101"/>
      <c r="G65" s="96"/>
      <c r="H65" s="103"/>
      <c r="I65" s="103"/>
      <c r="J65" s="103"/>
      <c r="K65" s="103"/>
      <c r="L65" s="100"/>
      <c r="M65" s="100"/>
      <c r="N65" s="334"/>
      <c r="O65" s="334"/>
      <c r="P65" s="149"/>
      <c r="Q65" s="149"/>
      <c r="R65" s="6"/>
      <c r="BA65" s="441" t="str">
        <f t="shared" si="28"/>
        <v/>
      </c>
    </row>
    <row r="66" spans="1:56" s="390" customFormat="1" ht="12" customHeight="1" x14ac:dyDescent="0.15">
      <c r="A66" s="396" t="s">
        <v>2778</v>
      </c>
      <c r="B66" s="396" t="s">
        <v>2572</v>
      </c>
      <c r="C66" s="396" t="s">
        <v>2777</v>
      </c>
      <c r="D66" s="396" t="s">
        <v>2639</v>
      </c>
      <c r="E66" s="396" t="s">
        <v>2744</v>
      </c>
      <c r="F66" s="382">
        <v>41100</v>
      </c>
      <c r="G66" s="398"/>
      <c r="H66" s="384"/>
      <c r="I66" s="384"/>
      <c r="J66" s="384"/>
      <c r="K66" s="384"/>
      <c r="L66" s="442"/>
      <c r="M66" s="395" t="str">
        <f>IF(H66="","",L66/H66)</f>
        <v/>
      </c>
      <c r="N66" s="509" t="str">
        <f>IF(H66="","--",I66/H66)</f>
        <v>--</v>
      </c>
      <c r="O66" s="509" t="str">
        <f>IF(H66="","--",SUM(I66:K66)/H66)</f>
        <v>--</v>
      </c>
      <c r="P66" s="356" t="s">
        <v>3587</v>
      </c>
      <c r="Q66" s="356" t="s">
        <v>3093</v>
      </c>
      <c r="R66" s="504"/>
      <c r="S66" s="393"/>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73"/>
      <c r="BA66" s="441" t="str">
        <f>IF(I66="","",IF(I66=0,0,1))</f>
        <v/>
      </c>
    </row>
    <row r="67" spans="1:56" s="390" customFormat="1" ht="12" customHeight="1" x14ac:dyDescent="0.15">
      <c r="A67" s="396" t="s">
        <v>2786</v>
      </c>
      <c r="B67" s="396" t="s">
        <v>2580</v>
      </c>
      <c r="C67" s="396" t="s">
        <v>2785</v>
      </c>
      <c r="D67" s="396" t="s">
        <v>2784</v>
      </c>
      <c r="E67" s="396" t="s">
        <v>2783</v>
      </c>
      <c r="F67" s="382">
        <v>41207</v>
      </c>
      <c r="G67" s="398"/>
      <c r="H67" s="384"/>
      <c r="I67" s="384"/>
      <c r="J67" s="384"/>
      <c r="K67" s="384"/>
      <c r="L67" s="442"/>
      <c r="M67" s="395" t="str">
        <f>IF(H67="","",L67/H67)</f>
        <v/>
      </c>
      <c r="N67" s="509" t="str">
        <f>IF(H67="","--",I67/H67)</f>
        <v>--</v>
      </c>
      <c r="O67" s="509" t="str">
        <f>IF(H67="","--",SUM(I67:K67)/H67)</f>
        <v>--</v>
      </c>
      <c r="P67" s="356" t="s">
        <v>3588</v>
      </c>
      <c r="Q67" s="356" t="s">
        <v>3093</v>
      </c>
      <c r="R67" s="504"/>
      <c r="S67" s="393"/>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73"/>
      <c r="BA67" s="441" t="str">
        <f>IF(I67="","",IF(I67=0,0,1))</f>
        <v/>
      </c>
    </row>
    <row r="68" spans="1:56" s="90" customFormat="1" ht="12" customHeight="1" x14ac:dyDescent="0.15">
      <c r="A68" s="142" t="s">
        <v>2774</v>
      </c>
      <c r="B68" s="142" t="s">
        <v>2567</v>
      </c>
      <c r="C68" s="142" t="s">
        <v>2773</v>
      </c>
      <c r="D68" s="142" t="s">
        <v>2772</v>
      </c>
      <c r="E68" s="142" t="s">
        <v>2744</v>
      </c>
      <c r="F68" s="143">
        <v>41192</v>
      </c>
      <c r="G68" s="144"/>
      <c r="H68" s="145">
        <v>1</v>
      </c>
      <c r="I68" s="145">
        <v>0</v>
      </c>
      <c r="J68" s="145">
        <v>0</v>
      </c>
      <c r="K68" s="145">
        <v>0</v>
      </c>
      <c r="L68" s="146">
        <f>85</f>
        <v>85</v>
      </c>
      <c r="M68" s="146">
        <f t="shared" ref="M68:M69" si="38">IF(H68="","",L68/H68)</f>
        <v>85</v>
      </c>
      <c r="N68" s="331">
        <f t="shared" ref="N68:N69" si="39">IF(H68="","--",I68/H68)</f>
        <v>0</v>
      </c>
      <c r="O68" s="331">
        <f t="shared" ref="O68:O69" si="40">IF(H68="","--",SUM(I68:K68)/H68)</f>
        <v>0</v>
      </c>
      <c r="P68" s="147" t="s">
        <v>3586</v>
      </c>
      <c r="Q68" s="147" t="s">
        <v>3093</v>
      </c>
      <c r="R68" s="142"/>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BA68" s="441">
        <f>IF(I68="","",IF(I68=0,0,1))</f>
        <v>0</v>
      </c>
    </row>
    <row r="69" spans="1:56" s="140" customFormat="1" ht="12" customHeight="1" x14ac:dyDescent="0.15">
      <c r="A69" s="58" t="s">
        <v>3412</v>
      </c>
      <c r="B69" s="58" t="s">
        <v>2584</v>
      </c>
      <c r="C69" s="58" t="s">
        <v>2669</v>
      </c>
      <c r="D69" s="58" t="s">
        <v>2668</v>
      </c>
      <c r="E69" s="58" t="s">
        <v>2667</v>
      </c>
      <c r="F69" s="137">
        <v>41179</v>
      </c>
      <c r="G69" s="138"/>
      <c r="H69" s="139">
        <v>2</v>
      </c>
      <c r="I69" s="139">
        <v>1</v>
      </c>
      <c r="J69" s="139">
        <v>0</v>
      </c>
      <c r="K69" s="139">
        <v>0</v>
      </c>
      <c r="L69" s="191">
        <f>4305+85</f>
        <v>4390</v>
      </c>
      <c r="M69" s="191">
        <f t="shared" si="38"/>
        <v>2195</v>
      </c>
      <c r="N69" s="330">
        <f t="shared" si="39"/>
        <v>0.5</v>
      </c>
      <c r="O69" s="330">
        <f t="shared" si="40"/>
        <v>0.5</v>
      </c>
      <c r="P69" s="56" t="s">
        <v>3585</v>
      </c>
      <c r="Q69" s="56" t="s">
        <v>3093</v>
      </c>
      <c r="R69" s="58" t="s">
        <v>3415</v>
      </c>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BA69" s="441">
        <f>IF(I69="","",IF(I69=0,0,1))</f>
        <v>1</v>
      </c>
      <c r="BD69" s="141"/>
    </row>
    <row r="70" spans="1:56" s="90" customFormat="1" ht="12" customHeight="1" x14ac:dyDescent="0.15">
      <c r="A70" s="51"/>
      <c r="B70" s="51"/>
      <c r="C70" s="51"/>
      <c r="D70" s="51"/>
      <c r="E70" s="51"/>
      <c r="F70" s="85"/>
      <c r="G70" s="86"/>
      <c r="H70" s="348"/>
      <c r="I70" s="348"/>
      <c r="J70" s="348"/>
      <c r="K70" s="348"/>
      <c r="L70" s="86"/>
      <c r="M70" s="119"/>
      <c r="N70" s="54"/>
      <c r="O70" s="54"/>
      <c r="P70" s="349"/>
      <c r="Q70" s="349"/>
      <c r="R70" s="51"/>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13"/>
      <c r="BA70" s="441" t="str">
        <f t="shared" si="28"/>
        <v/>
      </c>
    </row>
    <row r="71" spans="1:56" s="434" customFormat="1" ht="12" customHeight="1" x14ac:dyDescent="0.15">
      <c r="A71" s="427" t="s">
        <v>1789</v>
      </c>
      <c r="B71" s="427"/>
      <c r="C71" s="427"/>
      <c r="D71" s="427"/>
      <c r="E71" s="427"/>
      <c r="F71" s="428"/>
      <c r="G71" s="429"/>
      <c r="H71" s="430"/>
      <c r="I71" s="430"/>
      <c r="J71" s="430"/>
      <c r="K71" s="430"/>
      <c r="L71" s="443"/>
      <c r="M71" s="431"/>
      <c r="N71" s="510"/>
      <c r="O71" s="510"/>
      <c r="P71" s="356"/>
      <c r="Q71" s="356"/>
      <c r="R71" s="505"/>
      <c r="S71" s="432"/>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386"/>
      <c r="BA71" s="441" t="str">
        <f t="shared" si="28"/>
        <v/>
      </c>
    </row>
    <row r="72" spans="1:56" s="390" customFormat="1" ht="12" customHeight="1" x14ac:dyDescent="0.15">
      <c r="A72" s="396" t="s">
        <v>2800</v>
      </c>
      <c r="B72" s="396" t="s">
        <v>2549</v>
      </c>
      <c r="C72" s="396" t="s">
        <v>2799</v>
      </c>
      <c r="D72" s="396" t="s">
        <v>2798</v>
      </c>
      <c r="E72" s="396" t="s">
        <v>2797</v>
      </c>
      <c r="F72" s="382">
        <v>41127</v>
      </c>
      <c r="G72" s="398"/>
      <c r="H72" s="384"/>
      <c r="I72" s="384"/>
      <c r="J72" s="384"/>
      <c r="K72" s="384"/>
      <c r="L72" s="442"/>
      <c r="M72" s="395" t="str">
        <f t="shared" ref="M72:M75" si="41">IF(H72="","",L72/H72)</f>
        <v/>
      </c>
      <c r="N72" s="509" t="str">
        <f t="shared" ref="N72:N82" si="42">IF(H72="","--",I72/H72)</f>
        <v>--</v>
      </c>
      <c r="O72" s="509" t="str">
        <f t="shared" ref="O72:O82" si="43">IF(H72="","--",SUM(I72:K72)/H72)</f>
        <v>--</v>
      </c>
      <c r="P72" s="356"/>
      <c r="Q72" s="356"/>
      <c r="R72" s="504"/>
      <c r="S72" s="393"/>
      <c r="T72" s="392"/>
      <c r="U72" s="392"/>
      <c r="V72" s="392"/>
      <c r="W72" s="392"/>
      <c r="X72" s="392"/>
      <c r="Y72" s="392"/>
      <c r="Z72" s="392"/>
      <c r="AA72" s="392"/>
      <c r="AB72" s="392"/>
      <c r="AC72" s="392"/>
      <c r="AD72" s="392"/>
      <c r="AE72" s="392"/>
      <c r="AF72" s="392"/>
      <c r="AG72" s="392"/>
      <c r="AH72" s="392"/>
      <c r="AI72" s="392"/>
      <c r="AJ72" s="392"/>
      <c r="AK72" s="392"/>
      <c r="AL72" s="392"/>
      <c r="AM72" s="392"/>
      <c r="AN72" s="392"/>
      <c r="AO72" s="392"/>
      <c r="AP72" s="392"/>
      <c r="AQ72" s="392"/>
      <c r="AR72" s="392"/>
      <c r="AS72" s="392"/>
      <c r="AT72" s="392"/>
      <c r="AU72" s="373"/>
      <c r="BA72" s="441" t="str">
        <f t="shared" si="28"/>
        <v/>
      </c>
    </row>
    <row r="73" spans="1:56" s="390" customFormat="1" ht="12" customHeight="1" x14ac:dyDescent="0.15">
      <c r="A73" s="396" t="s">
        <v>3613</v>
      </c>
      <c r="B73" s="396" t="s">
        <v>2580</v>
      </c>
      <c r="C73" s="396" t="s">
        <v>2647</v>
      </c>
      <c r="D73" s="396" t="s">
        <v>2646</v>
      </c>
      <c r="E73" s="396" t="s">
        <v>2609</v>
      </c>
      <c r="F73" s="382">
        <v>41128</v>
      </c>
      <c r="G73" s="398"/>
      <c r="H73" s="384"/>
      <c r="I73" s="384"/>
      <c r="J73" s="384"/>
      <c r="K73" s="384"/>
      <c r="L73" s="442"/>
      <c r="M73" s="395" t="str">
        <f>IF(H73="","",L73/H73)</f>
        <v/>
      </c>
      <c r="N73" s="509" t="str">
        <f>IF(H73="","--",I73/H73)</f>
        <v>--</v>
      </c>
      <c r="O73" s="509" t="str">
        <f>IF(H73="","--",SUM(I73:K73)/H73)</f>
        <v>--</v>
      </c>
      <c r="P73" s="356"/>
      <c r="Q73" s="356" t="s">
        <v>3614</v>
      </c>
      <c r="R73" s="504" t="s">
        <v>4799</v>
      </c>
      <c r="S73" s="393"/>
      <c r="T73" s="392"/>
      <c r="U73" s="392"/>
      <c r="V73" s="392"/>
      <c r="W73" s="392"/>
      <c r="X73" s="392"/>
      <c r="Y73" s="392"/>
      <c r="Z73" s="392"/>
      <c r="AA73" s="392"/>
      <c r="AB73" s="392"/>
      <c r="AC73" s="392"/>
      <c r="AD73" s="392"/>
      <c r="AE73" s="392"/>
      <c r="AF73" s="392"/>
      <c r="AG73" s="392"/>
      <c r="AH73" s="392"/>
      <c r="AI73" s="392"/>
      <c r="AJ73" s="392"/>
      <c r="AK73" s="392"/>
      <c r="AL73" s="392"/>
      <c r="AM73" s="392"/>
      <c r="AN73" s="392"/>
      <c r="AO73" s="392"/>
      <c r="AP73" s="392"/>
      <c r="AQ73" s="392"/>
      <c r="AR73" s="392"/>
      <c r="AS73" s="392"/>
      <c r="AT73" s="392"/>
      <c r="AU73" s="373"/>
      <c r="BA73" s="441" t="str">
        <f>IF(I73="","",IF(I73=0,0,1))</f>
        <v/>
      </c>
    </row>
    <row r="74" spans="1:56" s="390" customFormat="1" ht="12" customHeight="1" x14ac:dyDescent="0.15">
      <c r="A74" s="396" t="s">
        <v>2754</v>
      </c>
      <c r="B74" s="396" t="s">
        <v>2572</v>
      </c>
      <c r="C74" s="396" t="s">
        <v>2753</v>
      </c>
      <c r="D74" s="396" t="s">
        <v>2752</v>
      </c>
      <c r="E74" s="396" t="s">
        <v>2744</v>
      </c>
      <c r="F74" s="382">
        <v>41120</v>
      </c>
      <c r="G74" s="398"/>
      <c r="H74" s="384"/>
      <c r="I74" s="384"/>
      <c r="J74" s="384"/>
      <c r="K74" s="384"/>
      <c r="L74" s="442"/>
      <c r="M74" s="395" t="str">
        <f t="shared" si="41"/>
        <v/>
      </c>
      <c r="N74" s="509" t="str">
        <f t="shared" si="42"/>
        <v>--</v>
      </c>
      <c r="O74" s="509" t="str">
        <f t="shared" si="43"/>
        <v>--</v>
      </c>
      <c r="P74" s="356"/>
      <c r="Q74" s="356"/>
      <c r="R74" s="504"/>
      <c r="S74" s="393"/>
      <c r="T74" s="392"/>
      <c r="U74" s="392"/>
      <c r="V74" s="392"/>
      <c r="W74" s="392"/>
      <c r="X74" s="392"/>
      <c r="Y74" s="392"/>
      <c r="Z74" s="392"/>
      <c r="AA74" s="392"/>
      <c r="AB74" s="392"/>
      <c r="AC74" s="392"/>
      <c r="AD74" s="392"/>
      <c r="AE74" s="392"/>
      <c r="AF74" s="392"/>
      <c r="AG74" s="392"/>
      <c r="AH74" s="392"/>
      <c r="AI74" s="392"/>
      <c r="AJ74" s="392"/>
      <c r="AK74" s="392"/>
      <c r="AL74" s="392"/>
      <c r="AM74" s="392"/>
      <c r="AN74" s="392"/>
      <c r="AO74" s="392"/>
      <c r="AP74" s="392"/>
      <c r="AQ74" s="392"/>
      <c r="AR74" s="392"/>
      <c r="AS74" s="392"/>
      <c r="AT74" s="392"/>
      <c r="AU74" s="373"/>
      <c r="BA74" s="441" t="str">
        <f t="shared" si="28"/>
        <v/>
      </c>
    </row>
    <row r="75" spans="1:56" s="390" customFormat="1" ht="12" customHeight="1" x14ac:dyDescent="0.15">
      <c r="A75" s="396" t="s">
        <v>2720</v>
      </c>
      <c r="B75" s="396" t="s">
        <v>2572</v>
      </c>
      <c r="C75" s="396" t="s">
        <v>2719</v>
      </c>
      <c r="D75" s="396" t="s">
        <v>2718</v>
      </c>
      <c r="E75" s="396" t="s">
        <v>2609</v>
      </c>
      <c r="F75" s="382">
        <v>41113</v>
      </c>
      <c r="G75" s="398"/>
      <c r="H75" s="384"/>
      <c r="I75" s="384"/>
      <c r="J75" s="384"/>
      <c r="K75" s="384"/>
      <c r="L75" s="442"/>
      <c r="M75" s="395" t="str">
        <f t="shared" si="41"/>
        <v/>
      </c>
      <c r="N75" s="509" t="str">
        <f t="shared" si="42"/>
        <v>--</v>
      </c>
      <c r="O75" s="509" t="str">
        <f t="shared" si="43"/>
        <v>--</v>
      </c>
      <c r="P75" s="356"/>
      <c r="Q75" s="356"/>
      <c r="R75" s="504" t="s">
        <v>2717</v>
      </c>
      <c r="S75" s="393"/>
      <c r="T75" s="392"/>
      <c r="U75" s="392"/>
      <c r="V75" s="392"/>
      <c r="W75" s="392"/>
      <c r="X75" s="392"/>
      <c r="Y75" s="392"/>
      <c r="Z75" s="392"/>
      <c r="AA75" s="392"/>
      <c r="AB75" s="392"/>
      <c r="AC75" s="392"/>
      <c r="AD75" s="392"/>
      <c r="AE75" s="392"/>
      <c r="AF75" s="392"/>
      <c r="AG75" s="392"/>
      <c r="AH75" s="392"/>
      <c r="AI75" s="392"/>
      <c r="AJ75" s="392"/>
      <c r="AK75" s="392"/>
      <c r="AL75" s="392"/>
      <c r="AM75" s="392"/>
      <c r="AN75" s="392"/>
      <c r="AO75" s="392"/>
      <c r="AP75" s="392"/>
      <c r="AQ75" s="392"/>
      <c r="AR75" s="392"/>
      <c r="AS75" s="392"/>
      <c r="AT75" s="392"/>
      <c r="AU75" s="373"/>
      <c r="BA75" s="441" t="str">
        <f t="shared" si="28"/>
        <v/>
      </c>
    </row>
    <row r="76" spans="1:56" s="390" customFormat="1" ht="12" customHeight="1" x14ac:dyDescent="0.15">
      <c r="A76" s="396" t="s">
        <v>2712</v>
      </c>
      <c r="B76" s="396" t="s">
        <v>2580</v>
      </c>
      <c r="C76" s="396" t="s">
        <v>2711</v>
      </c>
      <c r="D76" s="396" t="s">
        <v>2639</v>
      </c>
      <c r="E76" s="396" t="s">
        <v>2609</v>
      </c>
      <c r="F76" s="382">
        <v>41193</v>
      </c>
      <c r="G76" s="398"/>
      <c r="H76" s="384"/>
      <c r="I76" s="384"/>
      <c r="J76" s="384"/>
      <c r="K76" s="384"/>
      <c r="L76" s="442"/>
      <c r="M76" s="395" t="str">
        <f t="shared" ref="M76:M82" si="44">IF(H76="","",L76/H76)</f>
        <v/>
      </c>
      <c r="N76" s="509" t="str">
        <f t="shared" si="42"/>
        <v>--</v>
      </c>
      <c r="O76" s="509" t="str">
        <f t="shared" si="43"/>
        <v>--</v>
      </c>
      <c r="P76" s="356"/>
      <c r="Q76" s="356"/>
      <c r="R76" s="504" t="s">
        <v>2691</v>
      </c>
      <c r="S76" s="393"/>
      <c r="T76" s="392"/>
      <c r="U76" s="392"/>
      <c r="V76" s="392"/>
      <c r="W76" s="392"/>
      <c r="X76" s="392"/>
      <c r="Y76" s="392"/>
      <c r="Z76" s="392"/>
      <c r="AA76" s="392"/>
      <c r="AB76" s="392"/>
      <c r="AC76" s="392"/>
      <c r="AD76" s="392"/>
      <c r="AE76" s="392"/>
      <c r="AF76" s="392"/>
      <c r="AG76" s="392"/>
      <c r="AH76" s="392"/>
      <c r="AI76" s="392"/>
      <c r="AJ76" s="392"/>
      <c r="AK76" s="392"/>
      <c r="AL76" s="392"/>
      <c r="AM76" s="392"/>
      <c r="AN76" s="392"/>
      <c r="AO76" s="392"/>
      <c r="AP76" s="392"/>
      <c r="AQ76" s="392"/>
      <c r="AR76" s="392"/>
      <c r="AS76" s="392"/>
      <c r="AT76" s="392"/>
      <c r="AU76" s="373"/>
      <c r="BA76" s="441" t="str">
        <f t="shared" si="28"/>
        <v/>
      </c>
    </row>
    <row r="77" spans="1:56" s="390" customFormat="1" ht="12" customHeight="1" x14ac:dyDescent="0.15">
      <c r="A77" s="396" t="s">
        <v>2697</v>
      </c>
      <c r="B77" s="396" t="s">
        <v>2572</v>
      </c>
      <c r="C77" s="396" t="s">
        <v>2696</v>
      </c>
      <c r="D77" s="396" t="s">
        <v>2695</v>
      </c>
      <c r="E77" s="396" t="s">
        <v>2609</v>
      </c>
      <c r="F77" s="382">
        <v>41108</v>
      </c>
      <c r="G77" s="398"/>
      <c r="H77" s="384"/>
      <c r="I77" s="384"/>
      <c r="J77" s="384"/>
      <c r="K77" s="384"/>
      <c r="L77" s="442"/>
      <c r="M77" s="395" t="str">
        <f t="shared" si="44"/>
        <v/>
      </c>
      <c r="N77" s="509" t="str">
        <f t="shared" si="42"/>
        <v>--</v>
      </c>
      <c r="O77" s="509" t="str">
        <f t="shared" si="43"/>
        <v>--</v>
      </c>
      <c r="P77" s="356"/>
      <c r="Q77" s="356"/>
      <c r="R77" s="504" t="s">
        <v>2694</v>
      </c>
      <c r="S77" s="393"/>
      <c r="T77" s="392"/>
      <c r="U77" s="392"/>
      <c r="V77" s="392"/>
      <c r="W77" s="392"/>
      <c r="X77" s="392"/>
      <c r="Y77" s="392"/>
      <c r="Z77" s="392"/>
      <c r="AA77" s="392"/>
      <c r="AB77" s="392"/>
      <c r="AC77" s="392"/>
      <c r="AD77" s="392"/>
      <c r="AE77" s="392"/>
      <c r="AF77" s="392"/>
      <c r="AG77" s="392"/>
      <c r="AH77" s="392"/>
      <c r="AI77" s="392"/>
      <c r="AJ77" s="392"/>
      <c r="AK77" s="392"/>
      <c r="AL77" s="392"/>
      <c r="AM77" s="392"/>
      <c r="AN77" s="392"/>
      <c r="AO77" s="392"/>
      <c r="AP77" s="392"/>
      <c r="AQ77" s="392"/>
      <c r="AR77" s="392"/>
      <c r="AS77" s="392"/>
      <c r="AT77" s="392"/>
      <c r="AU77" s="373"/>
      <c r="BA77" s="441" t="str">
        <f t="shared" si="28"/>
        <v/>
      </c>
    </row>
    <row r="78" spans="1:56" s="390" customFormat="1" ht="12" customHeight="1" x14ac:dyDescent="0.15">
      <c r="A78" s="396" t="s">
        <v>2690</v>
      </c>
      <c r="B78" s="396" t="s">
        <v>2580</v>
      </c>
      <c r="C78" s="396" t="s">
        <v>2689</v>
      </c>
      <c r="D78" s="396" t="s">
        <v>2688</v>
      </c>
      <c r="E78" s="396" t="s">
        <v>2609</v>
      </c>
      <c r="F78" s="382">
        <v>41154</v>
      </c>
      <c r="G78" s="398"/>
      <c r="H78" s="384"/>
      <c r="I78" s="384"/>
      <c r="J78" s="384"/>
      <c r="K78" s="384"/>
      <c r="L78" s="442"/>
      <c r="M78" s="395" t="str">
        <f t="shared" si="44"/>
        <v/>
      </c>
      <c r="N78" s="509" t="str">
        <f t="shared" si="42"/>
        <v>--</v>
      </c>
      <c r="O78" s="509" t="str">
        <f t="shared" si="43"/>
        <v>--</v>
      </c>
      <c r="P78" s="356"/>
      <c r="Q78" s="356"/>
      <c r="R78" s="504" t="s">
        <v>2687</v>
      </c>
      <c r="S78" s="393"/>
      <c r="T78" s="392"/>
      <c r="U78" s="392"/>
      <c r="V78" s="392"/>
      <c r="W78" s="392"/>
      <c r="X78" s="392"/>
      <c r="Y78" s="392"/>
      <c r="Z78" s="392"/>
      <c r="AA78" s="392"/>
      <c r="AB78" s="392"/>
      <c r="AC78" s="392"/>
      <c r="AD78" s="392"/>
      <c r="AE78" s="392"/>
      <c r="AF78" s="392"/>
      <c r="AG78" s="392"/>
      <c r="AH78" s="392"/>
      <c r="AI78" s="392"/>
      <c r="AJ78" s="392"/>
      <c r="AK78" s="392"/>
      <c r="AL78" s="392"/>
      <c r="AM78" s="392"/>
      <c r="AN78" s="392"/>
      <c r="AO78" s="392"/>
      <c r="AP78" s="392"/>
      <c r="AQ78" s="392"/>
      <c r="AR78" s="392"/>
      <c r="AS78" s="392"/>
      <c r="AT78" s="392"/>
      <c r="AU78" s="373"/>
      <c r="BA78" s="441" t="str">
        <f t="shared" si="28"/>
        <v/>
      </c>
    </row>
    <row r="79" spans="1:56" s="390" customFormat="1" ht="12" customHeight="1" x14ac:dyDescent="0.15">
      <c r="A79" s="396" t="s">
        <v>2684</v>
      </c>
      <c r="B79" s="396" t="s">
        <v>2549</v>
      </c>
      <c r="C79" s="396" t="s">
        <v>2683</v>
      </c>
      <c r="D79" s="396" t="s">
        <v>699</v>
      </c>
      <c r="E79" s="396" t="s">
        <v>2609</v>
      </c>
      <c r="F79" s="382">
        <v>41113</v>
      </c>
      <c r="G79" s="398"/>
      <c r="H79" s="384"/>
      <c r="I79" s="384"/>
      <c r="J79" s="384"/>
      <c r="K79" s="384"/>
      <c r="L79" s="442"/>
      <c r="M79" s="395" t="str">
        <f t="shared" si="44"/>
        <v/>
      </c>
      <c r="N79" s="509" t="str">
        <f t="shared" si="42"/>
        <v>--</v>
      </c>
      <c r="O79" s="509" t="str">
        <f t="shared" si="43"/>
        <v>--</v>
      </c>
      <c r="P79" s="356"/>
      <c r="Q79" s="356"/>
      <c r="R79" s="504" t="s">
        <v>2613</v>
      </c>
      <c r="S79" s="393"/>
      <c r="T79" s="392"/>
      <c r="U79" s="392"/>
      <c r="V79" s="392"/>
      <c r="W79" s="392"/>
      <c r="X79" s="392"/>
      <c r="Y79" s="392"/>
      <c r="Z79" s="392"/>
      <c r="AA79" s="392"/>
      <c r="AB79" s="392"/>
      <c r="AC79" s="392"/>
      <c r="AD79" s="392"/>
      <c r="AE79" s="392"/>
      <c r="AF79" s="392"/>
      <c r="AG79" s="392"/>
      <c r="AH79" s="392"/>
      <c r="AI79" s="392"/>
      <c r="AJ79" s="392"/>
      <c r="AK79" s="392"/>
      <c r="AL79" s="392"/>
      <c r="AM79" s="392"/>
      <c r="AN79" s="392"/>
      <c r="AO79" s="392"/>
      <c r="AP79" s="392"/>
      <c r="AQ79" s="392"/>
      <c r="AR79" s="392"/>
      <c r="AS79" s="392"/>
      <c r="AT79" s="392"/>
      <c r="AU79" s="373"/>
      <c r="BA79" s="441" t="str">
        <f t="shared" si="28"/>
        <v/>
      </c>
    </row>
    <row r="80" spans="1:56" s="390" customFormat="1" ht="12" customHeight="1" x14ac:dyDescent="0.15">
      <c r="A80" s="396" t="s">
        <v>2660</v>
      </c>
      <c r="B80" s="396" t="s">
        <v>2572</v>
      </c>
      <c r="C80" s="396" t="s">
        <v>2659</v>
      </c>
      <c r="D80" s="396" t="s">
        <v>2658</v>
      </c>
      <c r="E80" s="396" t="s">
        <v>2609</v>
      </c>
      <c r="F80" s="382">
        <v>41144</v>
      </c>
      <c r="G80" s="398"/>
      <c r="H80" s="384"/>
      <c r="I80" s="384"/>
      <c r="J80" s="384"/>
      <c r="K80" s="384"/>
      <c r="L80" s="442"/>
      <c r="M80" s="395" t="str">
        <f t="shared" si="44"/>
        <v/>
      </c>
      <c r="N80" s="509" t="str">
        <f t="shared" si="42"/>
        <v>--</v>
      </c>
      <c r="O80" s="509" t="str">
        <f t="shared" si="43"/>
        <v>--</v>
      </c>
      <c r="P80" s="356"/>
      <c r="Q80" s="356"/>
      <c r="R80" s="504" t="s">
        <v>2657</v>
      </c>
      <c r="S80" s="393"/>
      <c r="T80" s="392"/>
      <c r="U80" s="392"/>
      <c r="V80" s="392"/>
      <c r="W80" s="392"/>
      <c r="X80" s="392"/>
      <c r="Y80" s="392"/>
      <c r="Z80" s="392"/>
      <c r="AA80" s="392"/>
      <c r="AB80" s="392"/>
      <c r="AC80" s="392"/>
      <c r="AD80" s="392"/>
      <c r="AE80" s="392"/>
      <c r="AF80" s="392"/>
      <c r="AG80" s="392"/>
      <c r="AH80" s="392"/>
      <c r="AI80" s="392"/>
      <c r="AJ80" s="392"/>
      <c r="AK80" s="392"/>
      <c r="AL80" s="392"/>
      <c r="AM80" s="392"/>
      <c r="AN80" s="392"/>
      <c r="AO80" s="392"/>
      <c r="AP80" s="392"/>
      <c r="AQ80" s="392"/>
      <c r="AR80" s="392"/>
      <c r="AS80" s="392"/>
      <c r="AT80" s="392"/>
      <c r="AU80" s="373"/>
      <c r="BA80" s="441" t="str">
        <f t="shared" si="28"/>
        <v/>
      </c>
    </row>
    <row r="81" spans="1:53" s="390" customFormat="1" ht="12" customHeight="1" x14ac:dyDescent="0.15">
      <c r="A81" s="396" t="s">
        <v>2645</v>
      </c>
      <c r="B81" s="396" t="s">
        <v>2572</v>
      </c>
      <c r="C81" s="396" t="s">
        <v>2644</v>
      </c>
      <c r="D81" s="396" t="s">
        <v>2643</v>
      </c>
      <c r="E81" s="396" t="s">
        <v>2609</v>
      </c>
      <c r="F81" s="382">
        <v>41121</v>
      </c>
      <c r="G81" s="398"/>
      <c r="H81" s="384"/>
      <c r="I81" s="384"/>
      <c r="J81" s="384"/>
      <c r="K81" s="384"/>
      <c r="L81" s="442"/>
      <c r="M81" s="395" t="str">
        <f t="shared" si="44"/>
        <v/>
      </c>
      <c r="N81" s="509" t="str">
        <f t="shared" si="42"/>
        <v>--</v>
      </c>
      <c r="O81" s="509" t="str">
        <f t="shared" si="43"/>
        <v>--</v>
      </c>
      <c r="P81" s="356"/>
      <c r="Q81" s="356"/>
      <c r="R81" s="504" t="s">
        <v>2642</v>
      </c>
      <c r="S81" s="393"/>
      <c r="T81" s="392"/>
      <c r="U81" s="392"/>
      <c r="V81" s="392"/>
      <c r="W81" s="392"/>
      <c r="X81" s="392"/>
      <c r="Y81" s="392"/>
      <c r="Z81" s="392"/>
      <c r="AA81" s="392"/>
      <c r="AB81" s="392"/>
      <c r="AC81" s="392"/>
      <c r="AD81" s="392"/>
      <c r="AE81" s="392"/>
      <c r="AF81" s="392"/>
      <c r="AG81" s="392"/>
      <c r="AH81" s="392"/>
      <c r="AI81" s="392"/>
      <c r="AJ81" s="392"/>
      <c r="AK81" s="392"/>
      <c r="AL81" s="392"/>
      <c r="AM81" s="392"/>
      <c r="AN81" s="392"/>
      <c r="AO81" s="392"/>
      <c r="AP81" s="392"/>
      <c r="AQ81" s="392"/>
      <c r="AR81" s="392"/>
      <c r="AS81" s="392"/>
      <c r="AT81" s="392"/>
      <c r="AU81" s="373"/>
      <c r="BA81" s="441" t="str">
        <f t="shared" ref="BA81:BA110" si="45">IF(I81="","",IF(I81=0,0,1))</f>
        <v/>
      </c>
    </row>
    <row r="82" spans="1:53" s="390" customFormat="1" ht="12" customHeight="1" x14ac:dyDescent="0.15">
      <c r="A82" s="396" t="s">
        <v>2641</v>
      </c>
      <c r="B82" s="396" t="s">
        <v>2549</v>
      </c>
      <c r="C82" s="396" t="s">
        <v>2640</v>
      </c>
      <c r="D82" s="396" t="s">
        <v>2639</v>
      </c>
      <c r="E82" s="396" t="s">
        <v>2609</v>
      </c>
      <c r="F82" s="382">
        <v>41173</v>
      </c>
      <c r="G82" s="398"/>
      <c r="H82" s="384"/>
      <c r="I82" s="384"/>
      <c r="J82" s="384"/>
      <c r="K82" s="384"/>
      <c r="L82" s="442"/>
      <c r="M82" s="395" t="str">
        <f t="shared" si="44"/>
        <v/>
      </c>
      <c r="N82" s="509" t="str">
        <f t="shared" si="42"/>
        <v>--</v>
      </c>
      <c r="O82" s="509" t="str">
        <f t="shared" si="43"/>
        <v>--</v>
      </c>
      <c r="P82" s="356"/>
      <c r="Q82" s="356"/>
      <c r="R82" s="504" t="s">
        <v>2638</v>
      </c>
      <c r="S82" s="393"/>
      <c r="T82" s="392"/>
      <c r="U82" s="392"/>
      <c r="V82" s="392"/>
      <c r="W82" s="392"/>
      <c r="X82" s="392"/>
      <c r="Y82" s="392"/>
      <c r="Z82" s="392"/>
      <c r="AA82" s="392"/>
      <c r="AB82" s="392"/>
      <c r="AC82" s="392"/>
      <c r="AD82" s="392"/>
      <c r="AE82" s="392"/>
      <c r="AF82" s="392"/>
      <c r="AG82" s="392"/>
      <c r="AH82" s="392"/>
      <c r="AI82" s="392"/>
      <c r="AJ82" s="392"/>
      <c r="AK82" s="392"/>
      <c r="AL82" s="392"/>
      <c r="AM82" s="392"/>
      <c r="AN82" s="392"/>
      <c r="AO82" s="392"/>
      <c r="AP82" s="392"/>
      <c r="AQ82" s="392"/>
      <c r="AR82" s="392"/>
      <c r="AS82" s="392"/>
      <c r="AT82" s="392"/>
      <c r="AU82" s="373"/>
      <c r="BA82" s="441" t="str">
        <f t="shared" si="45"/>
        <v/>
      </c>
    </row>
    <row r="83" spans="1:53" s="390" customFormat="1" ht="12" customHeight="1" x14ac:dyDescent="0.15">
      <c r="A83" s="396" t="s">
        <v>3253</v>
      </c>
      <c r="B83" s="396" t="s">
        <v>3254</v>
      </c>
      <c r="C83" s="396" t="s">
        <v>2530</v>
      </c>
      <c r="D83" s="396" t="s">
        <v>1198</v>
      </c>
      <c r="E83" s="396" t="s">
        <v>3255</v>
      </c>
      <c r="F83" s="382">
        <v>41165</v>
      </c>
      <c r="G83" s="398"/>
      <c r="H83" s="384"/>
      <c r="I83" s="384"/>
      <c r="J83" s="384"/>
      <c r="K83" s="384"/>
      <c r="L83" s="442"/>
      <c r="M83" s="395" t="str">
        <f>IF(H83="","",L83/H83)</f>
        <v/>
      </c>
      <c r="N83" s="509" t="str">
        <f t="shared" ref="N83:N99" si="46">IF(H83="","--",I83/H83)</f>
        <v>--</v>
      </c>
      <c r="O83" s="509" t="str">
        <f t="shared" ref="O83:O99" si="47">IF(H83="","--",SUM(I83:K83)/H83)</f>
        <v>--</v>
      </c>
      <c r="P83" s="356"/>
      <c r="Q83" s="356"/>
      <c r="R83" s="504" t="s">
        <v>2529</v>
      </c>
      <c r="S83" s="393"/>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73"/>
      <c r="BA83" s="441" t="str">
        <f t="shared" si="45"/>
        <v/>
      </c>
    </row>
    <row r="84" spans="1:53" s="390" customFormat="1" ht="12" customHeight="1" x14ac:dyDescent="0.15">
      <c r="A84" s="396" t="s">
        <v>2603</v>
      </c>
      <c r="B84" s="396" t="s">
        <v>2584</v>
      </c>
      <c r="C84" s="396" t="s">
        <v>2602</v>
      </c>
      <c r="D84" s="396" t="s">
        <v>2601</v>
      </c>
      <c r="E84" s="396" t="s">
        <v>2600</v>
      </c>
      <c r="F84" s="382">
        <v>41146</v>
      </c>
      <c r="G84" s="398"/>
      <c r="H84" s="384"/>
      <c r="I84" s="384"/>
      <c r="J84" s="384"/>
      <c r="K84" s="384"/>
      <c r="L84" s="442"/>
      <c r="M84" s="395" t="str">
        <f>IF(H84="","",L84/H84)</f>
        <v/>
      </c>
      <c r="N84" s="509" t="str">
        <f t="shared" si="46"/>
        <v>--</v>
      </c>
      <c r="O84" s="509" t="str">
        <f t="shared" si="47"/>
        <v>--</v>
      </c>
      <c r="P84" s="356"/>
      <c r="Q84" s="356"/>
      <c r="R84" s="504"/>
      <c r="S84" s="393"/>
      <c r="T84" s="392"/>
      <c r="U84" s="392"/>
      <c r="V84" s="392"/>
      <c r="W84" s="392"/>
      <c r="X84" s="392"/>
      <c r="Y84" s="392"/>
      <c r="Z84" s="392"/>
      <c r="AA84" s="392"/>
      <c r="AB84" s="392"/>
      <c r="AC84" s="392"/>
      <c r="AD84" s="392"/>
      <c r="AE84" s="392"/>
      <c r="AF84" s="392"/>
      <c r="AG84" s="392"/>
      <c r="AH84" s="392"/>
      <c r="AI84" s="392"/>
      <c r="AJ84" s="392"/>
      <c r="AK84" s="392"/>
      <c r="AL84" s="392"/>
      <c r="AM84" s="392"/>
      <c r="AN84" s="392"/>
      <c r="AO84" s="392"/>
      <c r="AP84" s="392"/>
      <c r="AQ84" s="392"/>
      <c r="AR84" s="392"/>
      <c r="AS84" s="392"/>
      <c r="AT84" s="392"/>
      <c r="AU84" s="373"/>
      <c r="BA84" s="441" t="str">
        <f t="shared" si="45"/>
        <v/>
      </c>
    </row>
    <row r="85" spans="1:53" s="390" customFormat="1" ht="12" customHeight="1" x14ac:dyDescent="0.15">
      <c r="A85" s="396" t="s">
        <v>3102</v>
      </c>
      <c r="B85" s="396" t="s">
        <v>3103</v>
      </c>
      <c r="C85" s="396" t="s">
        <v>2527</v>
      </c>
      <c r="D85" s="396" t="s">
        <v>3104</v>
      </c>
      <c r="E85" s="396" t="s">
        <v>3105</v>
      </c>
      <c r="F85" s="382">
        <v>41218</v>
      </c>
      <c r="G85" s="398"/>
      <c r="H85" s="384"/>
      <c r="I85" s="384"/>
      <c r="J85" s="384"/>
      <c r="K85" s="384"/>
      <c r="L85" s="442"/>
      <c r="M85" s="395" t="str">
        <f>IF(H85="","",L85/H85)</f>
        <v/>
      </c>
      <c r="N85" s="509" t="str">
        <f t="shared" si="46"/>
        <v>--</v>
      </c>
      <c r="O85" s="509" t="str">
        <f t="shared" si="47"/>
        <v>--</v>
      </c>
      <c r="P85" s="356"/>
      <c r="Q85" s="356"/>
      <c r="R85" s="504" t="s">
        <v>2526</v>
      </c>
      <c r="S85" s="393"/>
      <c r="T85" s="392"/>
      <c r="U85" s="392"/>
      <c r="V85" s="392"/>
      <c r="W85" s="392"/>
      <c r="X85" s="392"/>
      <c r="Y85" s="392"/>
      <c r="Z85" s="392"/>
      <c r="AA85" s="392"/>
      <c r="AB85" s="392"/>
      <c r="AC85" s="392"/>
      <c r="AD85" s="392"/>
      <c r="AE85" s="392"/>
      <c r="AF85" s="392"/>
      <c r="AG85" s="392"/>
      <c r="AH85" s="392"/>
      <c r="AI85" s="392"/>
      <c r="AJ85" s="392"/>
      <c r="AK85" s="392"/>
      <c r="AL85" s="392"/>
      <c r="AM85" s="392"/>
      <c r="AN85" s="392"/>
      <c r="AO85" s="392"/>
      <c r="AP85" s="392"/>
      <c r="AQ85" s="392"/>
      <c r="AR85" s="392"/>
      <c r="AS85" s="392"/>
      <c r="AT85" s="392"/>
      <c r="AU85" s="373"/>
      <c r="BA85" s="441" t="str">
        <f t="shared" si="45"/>
        <v/>
      </c>
    </row>
    <row r="86" spans="1:53" s="390" customFormat="1" ht="12" customHeight="1" x14ac:dyDescent="0.15">
      <c r="A86" s="396" t="s">
        <v>2590</v>
      </c>
      <c r="B86" s="396" t="s">
        <v>2589</v>
      </c>
      <c r="C86" s="396" t="s">
        <v>2588</v>
      </c>
      <c r="D86" s="396" t="s">
        <v>2587</v>
      </c>
      <c r="E86" s="396" t="s">
        <v>2586</v>
      </c>
      <c r="F86" s="382">
        <v>41239</v>
      </c>
      <c r="G86" s="398"/>
      <c r="H86" s="384"/>
      <c r="I86" s="384"/>
      <c r="J86" s="384"/>
      <c r="K86" s="384"/>
      <c r="L86" s="442"/>
      <c r="M86" s="395"/>
      <c r="N86" s="509" t="str">
        <f t="shared" si="46"/>
        <v>--</v>
      </c>
      <c r="O86" s="509" t="str">
        <f t="shared" si="47"/>
        <v>--</v>
      </c>
      <c r="P86" s="356"/>
      <c r="Q86" s="356"/>
      <c r="R86" s="504"/>
      <c r="S86" s="393"/>
      <c r="T86" s="392"/>
      <c r="U86" s="392"/>
      <c r="V86" s="392"/>
      <c r="W86" s="392"/>
      <c r="X86" s="392"/>
      <c r="Y86" s="392"/>
      <c r="Z86" s="392"/>
      <c r="AA86" s="392"/>
      <c r="AB86" s="392"/>
      <c r="AC86" s="392"/>
      <c r="AD86" s="392"/>
      <c r="AE86" s="392"/>
      <c r="AF86" s="392"/>
      <c r="AG86" s="392"/>
      <c r="AH86" s="392"/>
      <c r="AI86" s="392"/>
      <c r="AJ86" s="392"/>
      <c r="AK86" s="392"/>
      <c r="AL86" s="392"/>
      <c r="AM86" s="392"/>
      <c r="AN86" s="392"/>
      <c r="AO86" s="392"/>
      <c r="AP86" s="392"/>
      <c r="AQ86" s="392"/>
      <c r="AR86" s="392"/>
      <c r="AS86" s="392"/>
      <c r="AT86" s="392"/>
      <c r="AU86" s="373"/>
      <c r="BA86" s="441" t="str">
        <f t="shared" si="45"/>
        <v/>
      </c>
    </row>
    <row r="87" spans="1:53" s="390" customFormat="1" ht="12" customHeight="1" x14ac:dyDescent="0.15">
      <c r="A87" s="396" t="s">
        <v>2581</v>
      </c>
      <c r="B87" s="396" t="s">
        <v>2580</v>
      </c>
      <c r="C87" s="396" t="s">
        <v>2579</v>
      </c>
      <c r="D87" s="396" t="s">
        <v>2578</v>
      </c>
      <c r="E87" s="396" t="s">
        <v>2546</v>
      </c>
      <c r="F87" s="382">
        <v>41181</v>
      </c>
      <c r="G87" s="398"/>
      <c r="H87" s="384"/>
      <c r="I87" s="384"/>
      <c r="J87" s="384"/>
      <c r="K87" s="384"/>
      <c r="L87" s="442"/>
      <c r="M87" s="395" t="str">
        <f t="shared" ref="M87:M97" si="48">IF(H87="","",L87/H87)</f>
        <v/>
      </c>
      <c r="N87" s="509" t="str">
        <f t="shared" si="46"/>
        <v>--</v>
      </c>
      <c r="O87" s="509" t="str">
        <f t="shared" si="47"/>
        <v>--</v>
      </c>
      <c r="P87" s="356"/>
      <c r="Q87" s="356"/>
      <c r="R87" s="504"/>
      <c r="S87" s="393"/>
      <c r="T87" s="392"/>
      <c r="U87" s="392"/>
      <c r="V87" s="392"/>
      <c r="W87" s="392"/>
      <c r="X87" s="392"/>
      <c r="Y87" s="392"/>
      <c r="Z87" s="392"/>
      <c r="AA87" s="392"/>
      <c r="AB87" s="392"/>
      <c r="AC87" s="392"/>
      <c r="AD87" s="392"/>
      <c r="AE87" s="392"/>
      <c r="AF87" s="392"/>
      <c r="AG87" s="392"/>
      <c r="AH87" s="392"/>
      <c r="AI87" s="392"/>
      <c r="AJ87" s="392"/>
      <c r="AK87" s="392"/>
      <c r="AL87" s="392"/>
      <c r="AM87" s="392"/>
      <c r="AN87" s="392"/>
      <c r="AO87" s="392"/>
      <c r="AP87" s="392"/>
      <c r="AQ87" s="392"/>
      <c r="AR87" s="392"/>
      <c r="AS87" s="392"/>
      <c r="AT87" s="392"/>
      <c r="AU87" s="373"/>
      <c r="BA87" s="441" t="str">
        <f t="shared" si="45"/>
        <v/>
      </c>
    </row>
    <row r="88" spans="1:53" s="390" customFormat="1" ht="12" customHeight="1" x14ac:dyDescent="0.15">
      <c r="A88" s="396" t="s">
        <v>2577</v>
      </c>
      <c r="B88" s="396" t="s">
        <v>2549</v>
      </c>
      <c r="C88" s="396" t="s">
        <v>2576</v>
      </c>
      <c r="D88" s="396" t="s">
        <v>2575</v>
      </c>
      <c r="E88" s="396" t="s">
        <v>2574</v>
      </c>
      <c r="F88" s="382">
        <v>41142</v>
      </c>
      <c r="G88" s="398"/>
      <c r="H88" s="384"/>
      <c r="I88" s="384"/>
      <c r="J88" s="384"/>
      <c r="K88" s="384"/>
      <c r="L88" s="442"/>
      <c r="M88" s="395" t="str">
        <f t="shared" si="48"/>
        <v/>
      </c>
      <c r="N88" s="509" t="str">
        <f t="shared" si="46"/>
        <v>--</v>
      </c>
      <c r="O88" s="509" t="str">
        <f t="shared" si="47"/>
        <v>--</v>
      </c>
      <c r="P88" s="356"/>
      <c r="Q88" s="356"/>
      <c r="R88" s="504"/>
      <c r="S88" s="393"/>
      <c r="T88" s="392"/>
      <c r="U88" s="392"/>
      <c r="V88" s="392"/>
      <c r="W88" s="392"/>
      <c r="X88" s="392"/>
      <c r="Y88" s="392"/>
      <c r="Z88" s="392"/>
      <c r="AA88" s="392"/>
      <c r="AB88" s="392"/>
      <c r="AC88" s="392"/>
      <c r="AD88" s="392"/>
      <c r="AE88" s="392"/>
      <c r="AF88" s="392"/>
      <c r="AG88" s="392"/>
      <c r="AH88" s="392"/>
      <c r="AI88" s="392"/>
      <c r="AJ88" s="392"/>
      <c r="AK88" s="392"/>
      <c r="AL88" s="392"/>
      <c r="AM88" s="392"/>
      <c r="AN88" s="392"/>
      <c r="AO88" s="392"/>
      <c r="AP88" s="392"/>
      <c r="AQ88" s="392"/>
      <c r="AR88" s="392"/>
      <c r="AS88" s="392"/>
      <c r="AT88" s="392"/>
      <c r="AU88" s="373"/>
      <c r="BA88" s="441" t="str">
        <f t="shared" si="45"/>
        <v/>
      </c>
    </row>
    <row r="89" spans="1:53" s="390" customFormat="1" ht="12" customHeight="1" x14ac:dyDescent="0.15">
      <c r="A89" s="396"/>
      <c r="B89" s="396" t="s">
        <v>3256</v>
      </c>
      <c r="C89" s="396" t="s">
        <v>2539</v>
      </c>
      <c r="D89" s="396" t="s">
        <v>3258</v>
      </c>
      <c r="E89" s="396" t="s">
        <v>3257</v>
      </c>
      <c r="F89" s="382">
        <v>41205</v>
      </c>
      <c r="G89" s="398"/>
      <c r="H89" s="384"/>
      <c r="I89" s="384"/>
      <c r="J89" s="384"/>
      <c r="K89" s="384"/>
      <c r="L89" s="442"/>
      <c r="M89" s="395" t="str">
        <f>IF(H89="","",L89/H89)</f>
        <v/>
      </c>
      <c r="N89" s="509" t="str">
        <f t="shared" si="46"/>
        <v>--</v>
      </c>
      <c r="O89" s="509" t="str">
        <f t="shared" si="47"/>
        <v>--</v>
      </c>
      <c r="P89" s="356"/>
      <c r="Q89" s="356"/>
      <c r="R89" s="504" t="s">
        <v>2538</v>
      </c>
      <c r="S89" s="393"/>
      <c r="T89" s="392"/>
      <c r="U89" s="392"/>
      <c r="V89" s="392"/>
      <c r="W89" s="392"/>
      <c r="X89" s="392"/>
      <c r="Y89" s="392"/>
      <c r="Z89" s="392"/>
      <c r="AA89" s="392"/>
      <c r="AB89" s="392"/>
      <c r="AC89" s="392"/>
      <c r="AD89" s="392"/>
      <c r="AE89" s="392"/>
      <c r="AF89" s="392"/>
      <c r="AG89" s="392"/>
      <c r="AH89" s="392"/>
      <c r="AI89" s="392"/>
      <c r="AJ89" s="392"/>
      <c r="AK89" s="392"/>
      <c r="AL89" s="392"/>
      <c r="AM89" s="392"/>
      <c r="AN89" s="392"/>
      <c r="AO89" s="392"/>
      <c r="AP89" s="392"/>
      <c r="AQ89" s="392"/>
      <c r="AR89" s="392"/>
      <c r="AS89" s="392"/>
      <c r="AT89" s="392"/>
      <c r="AU89" s="373"/>
      <c r="BA89" s="441" t="str">
        <f t="shared" si="45"/>
        <v/>
      </c>
    </row>
    <row r="90" spans="1:53" s="390" customFormat="1" ht="12" customHeight="1" x14ac:dyDescent="0.15">
      <c r="A90" s="396"/>
      <c r="B90" s="396"/>
      <c r="C90" s="396" t="s">
        <v>2545</v>
      </c>
      <c r="D90" s="396"/>
      <c r="E90" s="396"/>
      <c r="F90" s="382"/>
      <c r="G90" s="398"/>
      <c r="H90" s="384"/>
      <c r="I90" s="384"/>
      <c r="J90" s="384"/>
      <c r="K90" s="384"/>
      <c r="L90" s="442"/>
      <c r="M90" s="395" t="str">
        <f t="shared" si="48"/>
        <v/>
      </c>
      <c r="N90" s="509" t="str">
        <f t="shared" si="46"/>
        <v>--</v>
      </c>
      <c r="O90" s="509" t="str">
        <f t="shared" si="47"/>
        <v>--</v>
      </c>
      <c r="P90" s="356"/>
      <c r="Q90" s="356"/>
      <c r="R90" s="504" t="s">
        <v>2529</v>
      </c>
      <c r="S90" s="393"/>
      <c r="T90" s="392"/>
      <c r="U90" s="392"/>
      <c r="V90" s="392"/>
      <c r="W90" s="392"/>
      <c r="X90" s="392"/>
      <c r="Y90" s="392"/>
      <c r="Z90" s="392"/>
      <c r="AA90" s="392"/>
      <c r="AB90" s="392"/>
      <c r="AC90" s="392"/>
      <c r="AD90" s="392"/>
      <c r="AE90" s="392"/>
      <c r="AF90" s="392"/>
      <c r="AG90" s="392"/>
      <c r="AH90" s="392"/>
      <c r="AI90" s="392"/>
      <c r="AJ90" s="392"/>
      <c r="AK90" s="392"/>
      <c r="AL90" s="392"/>
      <c r="AM90" s="392"/>
      <c r="AN90" s="392"/>
      <c r="AO90" s="392"/>
      <c r="AP90" s="392"/>
      <c r="AQ90" s="392"/>
      <c r="AR90" s="392"/>
      <c r="AS90" s="392"/>
      <c r="AT90" s="392"/>
      <c r="AU90" s="373"/>
      <c r="BA90" s="441" t="str">
        <f t="shared" si="45"/>
        <v/>
      </c>
    </row>
    <row r="91" spans="1:53" s="390" customFormat="1" ht="12" customHeight="1" x14ac:dyDescent="0.15">
      <c r="A91" s="396"/>
      <c r="B91" s="396"/>
      <c r="C91" s="396" t="s">
        <v>2544</v>
      </c>
      <c r="D91" s="396"/>
      <c r="E91" s="396"/>
      <c r="F91" s="382"/>
      <c r="G91" s="398"/>
      <c r="H91" s="384"/>
      <c r="I91" s="384"/>
      <c r="J91" s="384"/>
      <c r="K91" s="384"/>
      <c r="L91" s="442"/>
      <c r="M91" s="395" t="str">
        <f t="shared" si="48"/>
        <v/>
      </c>
      <c r="N91" s="509" t="str">
        <f t="shared" si="46"/>
        <v>--</v>
      </c>
      <c r="O91" s="509" t="str">
        <f t="shared" si="47"/>
        <v>--</v>
      </c>
      <c r="P91" s="356"/>
      <c r="Q91" s="356"/>
      <c r="R91" s="504" t="s">
        <v>2543</v>
      </c>
      <c r="S91" s="393"/>
      <c r="T91" s="392"/>
      <c r="U91" s="392"/>
      <c r="V91" s="392"/>
      <c r="W91" s="392"/>
      <c r="X91" s="392"/>
      <c r="Y91" s="392"/>
      <c r="Z91" s="392"/>
      <c r="AA91" s="392"/>
      <c r="AB91" s="392"/>
      <c r="AC91" s="392"/>
      <c r="AD91" s="392"/>
      <c r="AE91" s="392"/>
      <c r="AF91" s="392"/>
      <c r="AG91" s="392"/>
      <c r="AH91" s="392"/>
      <c r="AI91" s="392"/>
      <c r="AJ91" s="392"/>
      <c r="AK91" s="392"/>
      <c r="AL91" s="392"/>
      <c r="AM91" s="392"/>
      <c r="AN91" s="392"/>
      <c r="AO91" s="392"/>
      <c r="AP91" s="392"/>
      <c r="AQ91" s="392"/>
      <c r="AR91" s="392"/>
      <c r="AS91" s="392"/>
      <c r="AT91" s="392"/>
      <c r="AU91" s="373"/>
      <c r="BA91" s="441" t="str">
        <f t="shared" si="45"/>
        <v/>
      </c>
    </row>
    <row r="92" spans="1:53" s="390" customFormat="1" ht="12" customHeight="1" x14ac:dyDescent="0.15">
      <c r="A92" s="396"/>
      <c r="B92" s="396"/>
      <c r="C92" s="396" t="s">
        <v>2542</v>
      </c>
      <c r="D92" s="396" t="s">
        <v>2541</v>
      </c>
      <c r="E92" s="396"/>
      <c r="F92" s="382"/>
      <c r="G92" s="398"/>
      <c r="H92" s="384"/>
      <c r="I92" s="384"/>
      <c r="J92" s="384"/>
      <c r="K92" s="384"/>
      <c r="L92" s="442"/>
      <c r="M92" s="395" t="str">
        <f t="shared" si="48"/>
        <v/>
      </c>
      <c r="N92" s="509" t="str">
        <f t="shared" si="46"/>
        <v>--</v>
      </c>
      <c r="O92" s="509" t="str">
        <f t="shared" si="47"/>
        <v>--</v>
      </c>
      <c r="P92" s="356"/>
      <c r="Q92" s="356"/>
      <c r="R92" s="504" t="s">
        <v>2540</v>
      </c>
      <c r="S92" s="393"/>
      <c r="T92" s="392"/>
      <c r="U92" s="392"/>
      <c r="V92" s="392"/>
      <c r="W92" s="392"/>
      <c r="X92" s="392"/>
      <c r="Y92" s="392"/>
      <c r="Z92" s="392"/>
      <c r="AA92" s="392"/>
      <c r="AB92" s="392"/>
      <c r="AC92" s="392"/>
      <c r="AD92" s="392"/>
      <c r="AE92" s="392"/>
      <c r="AF92" s="392"/>
      <c r="AG92" s="392"/>
      <c r="AH92" s="392"/>
      <c r="AI92" s="392"/>
      <c r="AJ92" s="392"/>
      <c r="AK92" s="392"/>
      <c r="AL92" s="392"/>
      <c r="AM92" s="392"/>
      <c r="AN92" s="392"/>
      <c r="AO92" s="392"/>
      <c r="AP92" s="392"/>
      <c r="AQ92" s="392"/>
      <c r="AR92" s="392"/>
      <c r="AS92" s="392"/>
      <c r="AT92" s="392"/>
      <c r="AU92" s="373"/>
      <c r="BA92" s="441" t="str">
        <f t="shared" si="45"/>
        <v/>
      </c>
    </row>
    <row r="93" spans="1:53" s="390" customFormat="1" ht="12" customHeight="1" x14ac:dyDescent="0.15">
      <c r="A93" s="396"/>
      <c r="B93" s="396"/>
      <c r="C93" s="396" t="s">
        <v>2537</v>
      </c>
      <c r="D93" s="396"/>
      <c r="E93" s="396"/>
      <c r="F93" s="382"/>
      <c r="G93" s="398"/>
      <c r="H93" s="384"/>
      <c r="I93" s="384"/>
      <c r="J93" s="384"/>
      <c r="K93" s="384"/>
      <c r="L93" s="442"/>
      <c r="M93" s="395" t="str">
        <f t="shared" si="48"/>
        <v/>
      </c>
      <c r="N93" s="509" t="str">
        <f t="shared" si="46"/>
        <v>--</v>
      </c>
      <c r="O93" s="509" t="str">
        <f t="shared" si="47"/>
        <v>--</v>
      </c>
      <c r="P93" s="356"/>
      <c r="Q93" s="356"/>
      <c r="R93" s="504" t="s">
        <v>2529</v>
      </c>
      <c r="S93" s="393"/>
      <c r="T93" s="392"/>
      <c r="U93" s="392"/>
      <c r="V93" s="392"/>
      <c r="W93" s="392"/>
      <c r="X93" s="392"/>
      <c r="Y93" s="392"/>
      <c r="Z93" s="392"/>
      <c r="AA93" s="392"/>
      <c r="AB93" s="392"/>
      <c r="AC93" s="392"/>
      <c r="AD93" s="392"/>
      <c r="AE93" s="392"/>
      <c r="AF93" s="392"/>
      <c r="AG93" s="392"/>
      <c r="AH93" s="392"/>
      <c r="AI93" s="392"/>
      <c r="AJ93" s="392"/>
      <c r="AK93" s="392"/>
      <c r="AL93" s="392"/>
      <c r="AM93" s="392"/>
      <c r="AN93" s="392"/>
      <c r="AO93" s="392"/>
      <c r="AP93" s="392"/>
      <c r="AQ93" s="392"/>
      <c r="AR93" s="392"/>
      <c r="AS93" s="392"/>
      <c r="AT93" s="392"/>
      <c r="AU93" s="373"/>
      <c r="BA93" s="441" t="str">
        <f t="shared" si="45"/>
        <v/>
      </c>
    </row>
    <row r="94" spans="1:53" s="390" customFormat="1" ht="12" customHeight="1" x14ac:dyDescent="0.15">
      <c r="A94" s="396"/>
      <c r="B94" s="396"/>
      <c r="C94" s="396" t="s">
        <v>2536</v>
      </c>
      <c r="D94" s="396" t="s">
        <v>2535</v>
      </c>
      <c r="E94" s="396"/>
      <c r="F94" s="382"/>
      <c r="G94" s="398"/>
      <c r="H94" s="384"/>
      <c r="I94" s="384"/>
      <c r="J94" s="384"/>
      <c r="K94" s="384"/>
      <c r="L94" s="442"/>
      <c r="M94" s="395" t="str">
        <f t="shared" si="48"/>
        <v/>
      </c>
      <c r="N94" s="509" t="str">
        <f t="shared" si="46"/>
        <v>--</v>
      </c>
      <c r="O94" s="509" t="str">
        <f t="shared" si="47"/>
        <v>--</v>
      </c>
      <c r="P94" s="356"/>
      <c r="Q94" s="356"/>
      <c r="R94" s="504" t="s">
        <v>2533</v>
      </c>
      <c r="S94" s="393"/>
      <c r="T94" s="392"/>
      <c r="U94" s="392"/>
      <c r="V94" s="392"/>
      <c r="W94" s="392"/>
      <c r="X94" s="392"/>
      <c r="Y94" s="392"/>
      <c r="Z94" s="392"/>
      <c r="AA94" s="392"/>
      <c r="AB94" s="392"/>
      <c r="AC94" s="392"/>
      <c r="AD94" s="392"/>
      <c r="AE94" s="392"/>
      <c r="AF94" s="392"/>
      <c r="AG94" s="392"/>
      <c r="AH94" s="392"/>
      <c r="AI94" s="392"/>
      <c r="AJ94" s="392"/>
      <c r="AK94" s="392"/>
      <c r="AL94" s="392"/>
      <c r="AM94" s="392"/>
      <c r="AN94" s="392"/>
      <c r="AO94" s="392"/>
      <c r="AP94" s="392"/>
      <c r="AQ94" s="392"/>
      <c r="AR94" s="392"/>
      <c r="AS94" s="392"/>
      <c r="AT94" s="392"/>
      <c r="AU94" s="373"/>
      <c r="BA94" s="441" t="str">
        <f t="shared" si="45"/>
        <v/>
      </c>
    </row>
    <row r="95" spans="1:53" s="390" customFormat="1" ht="12" customHeight="1" x14ac:dyDescent="0.15">
      <c r="A95" s="396"/>
      <c r="B95" s="396"/>
      <c r="C95" s="396" t="s">
        <v>2534</v>
      </c>
      <c r="D95" s="396"/>
      <c r="E95" s="396"/>
      <c r="F95" s="382"/>
      <c r="G95" s="398"/>
      <c r="H95" s="384"/>
      <c r="I95" s="384"/>
      <c r="J95" s="384"/>
      <c r="K95" s="384"/>
      <c r="L95" s="442"/>
      <c r="M95" s="395" t="str">
        <f t="shared" si="48"/>
        <v/>
      </c>
      <c r="N95" s="509" t="str">
        <f t="shared" si="46"/>
        <v>--</v>
      </c>
      <c r="O95" s="509" t="str">
        <f t="shared" si="47"/>
        <v>--</v>
      </c>
      <c r="P95" s="356"/>
      <c r="Q95" s="356"/>
      <c r="R95" s="504" t="s">
        <v>2533</v>
      </c>
      <c r="S95" s="393"/>
      <c r="T95" s="392"/>
      <c r="U95" s="392"/>
      <c r="V95" s="392"/>
      <c r="W95" s="392"/>
      <c r="X95" s="392"/>
      <c r="Y95" s="392"/>
      <c r="Z95" s="392"/>
      <c r="AA95" s="392"/>
      <c r="AB95" s="392"/>
      <c r="AC95" s="392"/>
      <c r="AD95" s="392"/>
      <c r="AE95" s="392"/>
      <c r="AF95" s="392"/>
      <c r="AG95" s="392"/>
      <c r="AH95" s="392"/>
      <c r="AI95" s="392"/>
      <c r="AJ95" s="392"/>
      <c r="AK95" s="392"/>
      <c r="AL95" s="392"/>
      <c r="AM95" s="392"/>
      <c r="AN95" s="392"/>
      <c r="AO95" s="392"/>
      <c r="AP95" s="392"/>
      <c r="AQ95" s="392"/>
      <c r="AR95" s="392"/>
      <c r="AS95" s="392"/>
      <c r="AT95" s="392"/>
      <c r="AU95" s="373"/>
      <c r="BA95" s="441" t="str">
        <f t="shared" si="45"/>
        <v/>
      </c>
    </row>
    <row r="96" spans="1:53" s="390" customFormat="1" ht="12" customHeight="1" x14ac:dyDescent="0.15">
      <c r="A96" s="396"/>
      <c r="B96" s="396"/>
      <c r="C96" s="396" t="s">
        <v>2532</v>
      </c>
      <c r="D96" s="396"/>
      <c r="E96" s="396"/>
      <c r="F96" s="382"/>
      <c r="G96" s="398"/>
      <c r="H96" s="384"/>
      <c r="I96" s="384"/>
      <c r="J96" s="384"/>
      <c r="K96" s="384"/>
      <c r="L96" s="442"/>
      <c r="M96" s="395" t="str">
        <f t="shared" si="48"/>
        <v/>
      </c>
      <c r="N96" s="509" t="str">
        <f t="shared" si="46"/>
        <v>--</v>
      </c>
      <c r="O96" s="509" t="str">
        <f t="shared" si="47"/>
        <v>--</v>
      </c>
      <c r="P96" s="356"/>
      <c r="Q96" s="356"/>
      <c r="R96" s="504" t="s">
        <v>2529</v>
      </c>
      <c r="S96" s="393"/>
      <c r="T96" s="392"/>
      <c r="U96" s="392"/>
      <c r="V96" s="392"/>
      <c r="W96" s="392"/>
      <c r="X96" s="392"/>
      <c r="Y96" s="392"/>
      <c r="Z96" s="392"/>
      <c r="AA96" s="392"/>
      <c r="AB96" s="392"/>
      <c r="AC96" s="392"/>
      <c r="AD96" s="392"/>
      <c r="AE96" s="392"/>
      <c r="AF96" s="392"/>
      <c r="AG96" s="392"/>
      <c r="AH96" s="392"/>
      <c r="AI96" s="392"/>
      <c r="AJ96" s="392"/>
      <c r="AK96" s="392"/>
      <c r="AL96" s="392"/>
      <c r="AM96" s="392"/>
      <c r="AN96" s="392"/>
      <c r="AO96" s="392"/>
      <c r="AP96" s="392"/>
      <c r="AQ96" s="392"/>
      <c r="AR96" s="392"/>
      <c r="AS96" s="392"/>
      <c r="AT96" s="392"/>
      <c r="AU96" s="373"/>
      <c r="BA96" s="441" t="str">
        <f t="shared" si="45"/>
        <v/>
      </c>
    </row>
    <row r="97" spans="1:55" s="390" customFormat="1" ht="12" customHeight="1" x14ac:dyDescent="0.15">
      <c r="A97" s="396"/>
      <c r="B97" s="396"/>
      <c r="C97" s="396" t="s">
        <v>2531</v>
      </c>
      <c r="D97" s="396"/>
      <c r="E97" s="396"/>
      <c r="F97" s="382"/>
      <c r="G97" s="398"/>
      <c r="H97" s="384"/>
      <c r="I97" s="384"/>
      <c r="J97" s="384"/>
      <c r="K97" s="384"/>
      <c r="L97" s="442"/>
      <c r="M97" s="395" t="str">
        <f t="shared" si="48"/>
        <v/>
      </c>
      <c r="N97" s="509" t="str">
        <f t="shared" si="46"/>
        <v>--</v>
      </c>
      <c r="O97" s="509" t="str">
        <f t="shared" si="47"/>
        <v>--</v>
      </c>
      <c r="P97" s="356"/>
      <c r="Q97" s="356"/>
      <c r="R97" s="504" t="s">
        <v>2529</v>
      </c>
      <c r="S97" s="393"/>
      <c r="T97" s="392"/>
      <c r="U97" s="392"/>
      <c r="V97" s="392"/>
      <c r="W97" s="392"/>
      <c r="X97" s="392"/>
      <c r="Y97" s="392"/>
      <c r="Z97" s="392"/>
      <c r="AA97" s="392"/>
      <c r="AB97" s="392"/>
      <c r="AC97" s="392"/>
      <c r="AD97" s="392"/>
      <c r="AE97" s="392"/>
      <c r="AF97" s="392"/>
      <c r="AG97" s="392"/>
      <c r="AH97" s="392"/>
      <c r="AI97" s="392"/>
      <c r="AJ97" s="392"/>
      <c r="AK97" s="392"/>
      <c r="AL97" s="392"/>
      <c r="AM97" s="392"/>
      <c r="AN97" s="392"/>
      <c r="AO97" s="392"/>
      <c r="AP97" s="392"/>
      <c r="AQ97" s="392"/>
      <c r="AR97" s="392"/>
      <c r="AS97" s="392"/>
      <c r="AT97" s="392"/>
      <c r="AU97" s="373"/>
      <c r="BA97" s="441" t="str">
        <f t="shared" si="45"/>
        <v/>
      </c>
    </row>
    <row r="98" spans="1:55" s="390" customFormat="1" ht="12" customHeight="1" x14ac:dyDescent="0.15">
      <c r="A98" s="396"/>
      <c r="B98" s="396"/>
      <c r="C98" s="396" t="s">
        <v>2528</v>
      </c>
      <c r="D98" s="396"/>
      <c r="E98" s="396"/>
      <c r="F98" s="382"/>
      <c r="G98" s="398"/>
      <c r="H98" s="384"/>
      <c r="I98" s="384"/>
      <c r="J98" s="384"/>
      <c r="K98" s="384"/>
      <c r="L98" s="442"/>
      <c r="M98" s="395"/>
      <c r="N98" s="509" t="str">
        <f t="shared" si="46"/>
        <v>--</v>
      </c>
      <c r="O98" s="509" t="str">
        <f t="shared" si="47"/>
        <v>--</v>
      </c>
      <c r="P98" s="356"/>
      <c r="Q98" s="356"/>
      <c r="R98" s="504"/>
      <c r="S98" s="393"/>
      <c r="T98" s="392"/>
      <c r="U98" s="392"/>
      <c r="V98" s="392"/>
      <c r="W98" s="392"/>
      <c r="X98" s="392"/>
      <c r="Y98" s="392"/>
      <c r="Z98" s="392"/>
      <c r="AA98" s="392"/>
      <c r="AB98" s="392"/>
      <c r="AC98" s="392"/>
      <c r="AD98" s="392"/>
      <c r="AE98" s="392"/>
      <c r="AF98" s="392"/>
      <c r="AG98" s="392"/>
      <c r="AH98" s="392"/>
      <c r="AI98" s="392"/>
      <c r="AJ98" s="392"/>
      <c r="AK98" s="392"/>
      <c r="AL98" s="392"/>
      <c r="AM98" s="392"/>
      <c r="AN98" s="392"/>
      <c r="AO98" s="392"/>
      <c r="AP98" s="392"/>
      <c r="AQ98" s="392"/>
      <c r="AR98" s="392"/>
      <c r="AS98" s="392"/>
      <c r="AT98" s="392"/>
      <c r="AU98" s="373"/>
      <c r="BA98" s="441" t="str">
        <f t="shared" si="45"/>
        <v/>
      </c>
    </row>
    <row r="99" spans="1:55" s="390" customFormat="1" ht="12" customHeight="1" x14ac:dyDescent="0.15">
      <c r="A99" s="396"/>
      <c r="B99" s="396"/>
      <c r="C99" s="396" t="s">
        <v>2525</v>
      </c>
      <c r="D99" s="396" t="s">
        <v>2524</v>
      </c>
      <c r="E99" s="396"/>
      <c r="F99" s="382"/>
      <c r="G99" s="398"/>
      <c r="H99" s="384"/>
      <c r="I99" s="384"/>
      <c r="J99" s="384"/>
      <c r="K99" s="384"/>
      <c r="L99" s="442"/>
      <c r="M99" s="395" t="str">
        <f>IF(H99="","",L99/H99)</f>
        <v/>
      </c>
      <c r="N99" s="509" t="str">
        <f t="shared" si="46"/>
        <v>--</v>
      </c>
      <c r="O99" s="509" t="str">
        <f t="shared" si="47"/>
        <v>--</v>
      </c>
      <c r="P99" s="356"/>
      <c r="Q99" s="356"/>
      <c r="R99" s="504" t="s">
        <v>2523</v>
      </c>
      <c r="S99" s="393"/>
      <c r="T99" s="392"/>
      <c r="U99" s="392"/>
      <c r="V99" s="392"/>
      <c r="W99" s="392"/>
      <c r="X99" s="392"/>
      <c r="Y99" s="392"/>
      <c r="Z99" s="392"/>
      <c r="AA99" s="392"/>
      <c r="AB99" s="392"/>
      <c r="AC99" s="392"/>
      <c r="AD99" s="392"/>
      <c r="AE99" s="392"/>
      <c r="AF99" s="392"/>
      <c r="AG99" s="392"/>
      <c r="AH99" s="392"/>
      <c r="AI99" s="392"/>
      <c r="AJ99" s="392"/>
      <c r="AK99" s="392"/>
      <c r="AL99" s="392"/>
      <c r="AM99" s="392"/>
      <c r="AN99" s="392"/>
      <c r="AO99" s="392"/>
      <c r="AP99" s="392"/>
      <c r="AQ99" s="392"/>
      <c r="AR99" s="392"/>
      <c r="AS99" s="392"/>
      <c r="AT99" s="392"/>
      <c r="AU99" s="373"/>
      <c r="BA99" s="441" t="str">
        <f t="shared" si="45"/>
        <v/>
      </c>
    </row>
    <row r="100" spans="1:55" s="390" customFormat="1" ht="12" customHeight="1" x14ac:dyDescent="0.15">
      <c r="A100" s="396"/>
      <c r="B100" s="396"/>
      <c r="C100" s="396"/>
      <c r="D100" s="396"/>
      <c r="E100" s="396"/>
      <c r="F100" s="382"/>
      <c r="G100" s="398"/>
      <c r="H100" s="384"/>
      <c r="I100" s="384"/>
      <c r="J100" s="384"/>
      <c r="K100" s="384"/>
      <c r="L100" s="442"/>
      <c r="M100" s="395"/>
      <c r="N100" s="395"/>
      <c r="O100" s="395"/>
      <c r="P100" s="395"/>
      <c r="Q100" s="356"/>
      <c r="R100" s="504"/>
      <c r="S100" s="393"/>
      <c r="T100" s="392"/>
      <c r="U100" s="392"/>
      <c r="V100" s="392"/>
      <c r="W100" s="392"/>
      <c r="X100" s="392"/>
      <c r="Y100" s="392"/>
      <c r="Z100" s="392"/>
      <c r="AA100" s="392"/>
      <c r="AB100" s="392"/>
      <c r="AC100" s="392"/>
      <c r="AD100" s="392"/>
      <c r="AE100" s="392"/>
      <c r="AF100" s="392"/>
      <c r="AG100" s="392"/>
      <c r="AH100" s="392"/>
      <c r="AI100" s="392"/>
      <c r="AJ100" s="392"/>
      <c r="AK100" s="392"/>
      <c r="AL100" s="392"/>
      <c r="AM100" s="392"/>
      <c r="AN100" s="392"/>
      <c r="AO100" s="392"/>
      <c r="AP100" s="392"/>
      <c r="AQ100" s="392"/>
      <c r="AR100" s="392"/>
      <c r="AS100" s="392"/>
      <c r="AT100" s="392"/>
      <c r="AU100" s="373"/>
      <c r="BA100" s="441" t="str">
        <f t="shared" si="45"/>
        <v/>
      </c>
    </row>
    <row r="101" spans="1:55" s="90" customFormat="1" ht="12" customHeight="1" x14ac:dyDescent="0.15">
      <c r="A101" s="110" t="s">
        <v>1850</v>
      </c>
      <c r="B101" s="6"/>
      <c r="C101" s="6"/>
      <c r="D101" s="6"/>
      <c r="E101" s="6"/>
      <c r="F101" s="101"/>
      <c r="G101" s="96"/>
      <c r="H101" s="103"/>
      <c r="I101" s="103"/>
      <c r="J101" s="103"/>
      <c r="K101" s="103"/>
      <c r="L101" s="100"/>
      <c r="M101" s="100"/>
      <c r="N101" s="100"/>
      <c r="O101" s="100"/>
      <c r="P101" s="334"/>
      <c r="Q101" s="334"/>
      <c r="R101" s="149"/>
      <c r="S101" s="149"/>
      <c r="T101" s="6"/>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13"/>
      <c r="BA101" s="441" t="str">
        <f t="shared" si="45"/>
        <v/>
      </c>
      <c r="BC101" s="441" t="str">
        <f>IF(I101="","",IF(I101=0,0,1))</f>
        <v/>
      </c>
    </row>
    <row r="102" spans="1:55" s="390" customFormat="1" ht="12" customHeight="1" x14ac:dyDescent="0.15">
      <c r="A102" s="396" t="s">
        <v>2751</v>
      </c>
      <c r="B102" s="396" t="s">
        <v>2572</v>
      </c>
      <c r="C102" s="396" t="s">
        <v>2750</v>
      </c>
      <c r="D102" s="396" t="s">
        <v>2749</v>
      </c>
      <c r="E102" s="396" t="s">
        <v>2744</v>
      </c>
      <c r="F102" s="382">
        <v>41113</v>
      </c>
      <c r="G102" s="398"/>
      <c r="H102" s="384"/>
      <c r="I102" s="384"/>
      <c r="J102" s="384"/>
      <c r="K102" s="384"/>
      <c r="L102" s="442"/>
      <c r="M102" s="395" t="str">
        <f>IF(H102="","",L102/H102)</f>
        <v/>
      </c>
      <c r="N102" s="509" t="str">
        <f>IF(H102="","--",I102/H102)</f>
        <v>--</v>
      </c>
      <c r="O102" s="509" t="str">
        <f>IF(H102="","--",SUM(I102:K102)/H102)</f>
        <v>--</v>
      </c>
      <c r="P102" s="356" t="s">
        <v>3344</v>
      </c>
      <c r="Q102" s="356"/>
      <c r="R102" s="504"/>
      <c r="S102" s="393"/>
      <c r="T102" s="392"/>
      <c r="U102" s="392"/>
      <c r="V102" s="392"/>
      <c r="W102" s="392"/>
      <c r="X102" s="392"/>
      <c r="Y102" s="392"/>
      <c r="Z102" s="392"/>
      <c r="AA102" s="392"/>
      <c r="AB102" s="392"/>
      <c r="AC102" s="392"/>
      <c r="AD102" s="392"/>
      <c r="AE102" s="392"/>
      <c r="AF102" s="392"/>
      <c r="AG102" s="392"/>
      <c r="AH102" s="392"/>
      <c r="AI102" s="392"/>
      <c r="AJ102" s="392"/>
      <c r="AK102" s="392"/>
      <c r="AL102" s="392"/>
      <c r="AM102" s="392"/>
      <c r="AN102" s="392"/>
      <c r="AO102" s="392"/>
      <c r="AP102" s="392"/>
      <c r="AQ102" s="392"/>
      <c r="AR102" s="392"/>
      <c r="AS102" s="392"/>
      <c r="AT102" s="392"/>
      <c r="AU102" s="373"/>
      <c r="BA102" s="441" t="str">
        <f t="shared" si="45"/>
        <v/>
      </c>
    </row>
    <row r="103" spans="1:55" s="390" customFormat="1" ht="12" customHeight="1" x14ac:dyDescent="0.15">
      <c r="A103" s="396" t="s">
        <v>2748</v>
      </c>
      <c r="B103" s="396" t="s">
        <v>2572</v>
      </c>
      <c r="C103" s="396" t="s">
        <v>2747</v>
      </c>
      <c r="D103" s="396" t="s">
        <v>2705</v>
      </c>
      <c r="E103" s="396" t="s">
        <v>2744</v>
      </c>
      <c r="F103" s="382">
        <v>41197</v>
      </c>
      <c r="G103" s="398"/>
      <c r="H103" s="384"/>
      <c r="I103" s="384"/>
      <c r="J103" s="384"/>
      <c r="K103" s="384"/>
      <c r="L103" s="442"/>
      <c r="M103" s="395" t="str">
        <f>IF(H103="","",L103/H103)</f>
        <v/>
      </c>
      <c r="N103" s="509" t="str">
        <f>IF(H103="","--",I103/H103)</f>
        <v>--</v>
      </c>
      <c r="O103" s="509" t="str">
        <f>IF(H103="","--",SUM(I103:K103)/H103)</f>
        <v>--</v>
      </c>
      <c r="P103" s="356" t="s">
        <v>3344</v>
      </c>
      <c r="Q103" s="356"/>
      <c r="R103" s="504"/>
      <c r="S103" s="393"/>
      <c r="T103" s="392"/>
      <c r="U103" s="392"/>
      <c r="V103" s="392"/>
      <c r="W103" s="392"/>
      <c r="X103" s="392"/>
      <c r="Y103" s="392"/>
      <c r="Z103" s="392"/>
      <c r="AA103" s="392"/>
      <c r="AB103" s="392"/>
      <c r="AC103" s="392"/>
      <c r="AD103" s="392"/>
      <c r="AE103" s="392"/>
      <c r="AF103" s="392"/>
      <c r="AG103" s="392"/>
      <c r="AH103" s="392"/>
      <c r="AI103" s="392"/>
      <c r="AJ103" s="392"/>
      <c r="AK103" s="392"/>
      <c r="AL103" s="392"/>
      <c r="AM103" s="392"/>
      <c r="AN103" s="392"/>
      <c r="AO103" s="392"/>
      <c r="AP103" s="392"/>
      <c r="AQ103" s="392"/>
      <c r="AR103" s="392"/>
      <c r="AS103" s="392"/>
      <c r="AT103" s="392"/>
      <c r="AU103" s="373"/>
      <c r="BA103" s="441" t="str">
        <f t="shared" si="45"/>
        <v/>
      </c>
    </row>
    <row r="104" spans="1:55" s="390" customFormat="1" ht="12" customHeight="1" x14ac:dyDescent="0.15">
      <c r="A104" s="396" t="s">
        <v>2630</v>
      </c>
      <c r="B104" s="396" t="s">
        <v>2580</v>
      </c>
      <c r="C104" s="396" t="s">
        <v>2629</v>
      </c>
      <c r="D104" s="396" t="s">
        <v>2628</v>
      </c>
      <c r="E104" s="396" t="s">
        <v>2609</v>
      </c>
      <c r="F104" s="382">
        <v>41194</v>
      </c>
      <c r="G104" s="398"/>
      <c r="H104" s="384"/>
      <c r="I104" s="384"/>
      <c r="J104" s="384"/>
      <c r="K104" s="384"/>
      <c r="L104" s="442"/>
      <c r="M104" s="395" t="str">
        <f>IF(H104="","",L104/H104)</f>
        <v/>
      </c>
      <c r="N104" s="395"/>
      <c r="O104" s="395"/>
      <c r="P104" s="356" t="s">
        <v>2519</v>
      </c>
      <c r="Q104" s="356"/>
      <c r="R104" s="504" t="s">
        <v>2627</v>
      </c>
      <c r="S104" s="393"/>
      <c r="T104" s="392"/>
      <c r="U104" s="392"/>
      <c r="V104" s="392"/>
      <c r="W104" s="392"/>
      <c r="X104" s="392"/>
      <c r="Y104" s="392"/>
      <c r="Z104" s="392"/>
      <c r="AA104" s="392"/>
      <c r="AB104" s="392"/>
      <c r="AC104" s="392"/>
      <c r="AD104" s="392"/>
      <c r="AE104" s="392"/>
      <c r="AF104" s="392"/>
      <c r="AG104" s="392"/>
      <c r="AH104" s="392"/>
      <c r="AI104" s="392"/>
      <c r="AJ104" s="392"/>
      <c r="AK104" s="392"/>
      <c r="AL104" s="392"/>
      <c r="AM104" s="392"/>
      <c r="AN104" s="392"/>
      <c r="AO104" s="392"/>
      <c r="AP104" s="392"/>
      <c r="AQ104" s="392"/>
      <c r="AR104" s="392"/>
      <c r="AS104" s="392"/>
      <c r="AT104" s="392"/>
      <c r="AU104" s="373"/>
      <c r="BA104" s="441" t="str">
        <f t="shared" si="45"/>
        <v/>
      </c>
    </row>
    <row r="105" spans="1:55" s="390" customFormat="1" ht="12" customHeight="1" x14ac:dyDescent="0.15">
      <c r="A105" s="396" t="s">
        <v>2624</v>
      </c>
      <c r="B105" s="396" t="s">
        <v>2549</v>
      </c>
      <c r="C105" s="396" t="s">
        <v>2623</v>
      </c>
      <c r="D105" s="396" t="s">
        <v>699</v>
      </c>
      <c r="E105" s="396" t="s">
        <v>2609</v>
      </c>
      <c r="F105" s="382">
        <v>41164</v>
      </c>
      <c r="G105" s="398"/>
      <c r="H105" s="384"/>
      <c r="I105" s="384"/>
      <c r="J105" s="384"/>
      <c r="K105" s="384"/>
      <c r="L105" s="442"/>
      <c r="M105" s="395" t="str">
        <f>IF(H105="","",L105/H105)</f>
        <v/>
      </c>
      <c r="N105" s="509" t="str">
        <f>IF(H105="","--",I105/H105)</f>
        <v>--</v>
      </c>
      <c r="O105" s="509" t="str">
        <f>IF(H105="","--",SUM(I105:K105)/H105)</f>
        <v>--</v>
      </c>
      <c r="P105" s="356" t="s">
        <v>5410</v>
      </c>
      <c r="Q105" s="356"/>
      <c r="R105" s="504" t="s">
        <v>5411</v>
      </c>
      <c r="S105" s="393"/>
      <c r="T105" s="392"/>
      <c r="U105" s="392"/>
      <c r="V105" s="392"/>
      <c r="W105" s="392"/>
      <c r="X105" s="392"/>
      <c r="Y105" s="392"/>
      <c r="Z105" s="392"/>
      <c r="AA105" s="392"/>
      <c r="AB105" s="392"/>
      <c r="AC105" s="392"/>
      <c r="AD105" s="392"/>
      <c r="AE105" s="392"/>
      <c r="AF105" s="392"/>
      <c r="AG105" s="392"/>
      <c r="AH105" s="392"/>
      <c r="AI105" s="392"/>
      <c r="AJ105" s="392"/>
      <c r="AK105" s="392"/>
      <c r="AL105" s="392"/>
      <c r="AM105" s="392"/>
      <c r="AN105" s="392"/>
      <c r="AO105" s="392"/>
      <c r="AP105" s="392"/>
      <c r="AQ105" s="392"/>
      <c r="AR105" s="392"/>
      <c r="AS105" s="392"/>
      <c r="AT105" s="392"/>
      <c r="AU105" s="373"/>
      <c r="BA105" s="441" t="str">
        <f>IF(I105="","",IF(I105=0,0,1))</f>
        <v/>
      </c>
    </row>
    <row r="106" spans="1:55" s="390" customFormat="1" ht="12" customHeight="1" x14ac:dyDescent="0.15">
      <c r="A106" s="396" t="s">
        <v>2562</v>
      </c>
      <c r="B106" s="396" t="s">
        <v>2549</v>
      </c>
      <c r="C106" s="396" t="s">
        <v>2561</v>
      </c>
      <c r="D106" s="396" t="s">
        <v>2560</v>
      </c>
      <c r="E106" s="396" t="s">
        <v>2559</v>
      </c>
      <c r="F106" s="382">
        <v>41122</v>
      </c>
      <c r="G106" s="398"/>
      <c r="H106" s="384"/>
      <c r="I106" s="384"/>
      <c r="J106" s="384"/>
      <c r="K106" s="384"/>
      <c r="L106" s="442"/>
      <c r="M106" s="395" t="str">
        <f>IF(H106="","",L106/H106)</f>
        <v/>
      </c>
      <c r="N106" s="509" t="str">
        <f>IF(H106="","--",I106/H106)</f>
        <v>--</v>
      </c>
      <c r="O106" s="509" t="str">
        <f>IF(H106="","--",SUM(I106:K106)/H106)</f>
        <v>--</v>
      </c>
      <c r="P106" s="356" t="s">
        <v>5410</v>
      </c>
      <c r="Q106" s="356"/>
      <c r="R106" s="504" t="s">
        <v>5412</v>
      </c>
      <c r="S106" s="393"/>
      <c r="T106" s="392"/>
      <c r="U106" s="392"/>
      <c r="V106" s="392"/>
      <c r="W106" s="392"/>
      <c r="X106" s="392"/>
      <c r="Y106" s="392"/>
      <c r="Z106" s="392"/>
      <c r="AA106" s="392"/>
      <c r="AB106" s="392"/>
      <c r="AC106" s="392"/>
      <c r="AD106" s="392"/>
      <c r="AE106" s="392"/>
      <c r="AF106" s="392"/>
      <c r="AG106" s="392"/>
      <c r="AH106" s="392"/>
      <c r="AI106" s="392"/>
      <c r="AJ106" s="392"/>
      <c r="AK106" s="392"/>
      <c r="AL106" s="392"/>
      <c r="AM106" s="392"/>
      <c r="AN106" s="392"/>
      <c r="AO106" s="392"/>
      <c r="AP106" s="392"/>
      <c r="AQ106" s="392"/>
      <c r="AR106" s="392"/>
      <c r="AS106" s="392"/>
      <c r="AT106" s="392"/>
      <c r="AU106" s="373"/>
      <c r="BA106" s="441" t="str">
        <f>IF(I106="","",IF(I106=0,0,1))</f>
        <v/>
      </c>
    </row>
    <row r="107" spans="1:55" s="390" customFormat="1" ht="12" customHeight="1" x14ac:dyDescent="0.15">
      <c r="A107" s="396"/>
      <c r="B107" s="396"/>
      <c r="C107" s="396"/>
      <c r="D107" s="396"/>
      <c r="E107" s="396"/>
      <c r="F107" s="382"/>
      <c r="G107" s="398"/>
      <c r="H107" s="384"/>
      <c r="I107" s="384"/>
      <c r="J107" s="384"/>
      <c r="K107" s="384"/>
      <c r="L107" s="442"/>
      <c r="M107" s="395"/>
      <c r="N107" s="395"/>
      <c r="O107" s="395"/>
      <c r="P107" s="395"/>
      <c r="Q107" s="394"/>
      <c r="R107" s="504"/>
      <c r="S107" s="393"/>
      <c r="T107" s="392"/>
      <c r="U107" s="392"/>
      <c r="V107" s="392"/>
      <c r="W107" s="392"/>
      <c r="X107" s="392"/>
      <c r="Y107" s="392"/>
      <c r="Z107" s="392"/>
      <c r="AA107" s="392"/>
      <c r="AB107" s="392"/>
      <c r="AC107" s="392"/>
      <c r="AD107" s="392"/>
      <c r="AE107" s="392"/>
      <c r="AF107" s="392"/>
      <c r="AG107" s="392"/>
      <c r="AH107" s="392"/>
      <c r="AI107" s="392"/>
      <c r="AJ107" s="392"/>
      <c r="AK107" s="392"/>
      <c r="AL107" s="392"/>
      <c r="AM107" s="392"/>
      <c r="AN107" s="392"/>
      <c r="AO107" s="392"/>
      <c r="AP107" s="392"/>
      <c r="AQ107" s="392"/>
      <c r="AR107" s="392"/>
      <c r="AS107" s="392"/>
      <c r="AT107" s="392"/>
      <c r="AU107" s="373"/>
      <c r="BA107" s="441" t="str">
        <f t="shared" si="45"/>
        <v/>
      </c>
    </row>
    <row r="108" spans="1:55" s="390" customFormat="1" ht="12" customHeight="1" x14ac:dyDescent="0.15">
      <c r="A108" s="396" t="s">
        <v>612</v>
      </c>
      <c r="B108" s="396"/>
      <c r="C108" s="396"/>
      <c r="D108" s="396"/>
      <c r="E108" s="396"/>
      <c r="F108" s="382"/>
      <c r="G108" s="398"/>
      <c r="H108" s="384"/>
      <c r="I108" s="384"/>
      <c r="J108" s="384"/>
      <c r="K108" s="384"/>
      <c r="L108" s="442"/>
      <c r="M108" s="395"/>
      <c r="N108" s="395"/>
      <c r="O108" s="395"/>
      <c r="P108" s="395"/>
      <c r="Q108" s="394"/>
      <c r="R108" s="504"/>
      <c r="S108" s="393"/>
      <c r="T108" s="392"/>
      <c r="U108" s="392"/>
      <c r="V108" s="392"/>
      <c r="W108" s="392"/>
      <c r="X108" s="392"/>
      <c r="Y108" s="392"/>
      <c r="Z108" s="392"/>
      <c r="AA108" s="392"/>
      <c r="AB108" s="392"/>
      <c r="AC108" s="392"/>
      <c r="AD108" s="392"/>
      <c r="AE108" s="392"/>
      <c r="AF108" s="392"/>
      <c r="AG108" s="392"/>
      <c r="AH108" s="392"/>
      <c r="AI108" s="392"/>
      <c r="AJ108" s="392"/>
      <c r="AK108" s="392"/>
      <c r="AL108" s="392"/>
      <c r="AM108" s="392"/>
      <c r="AN108" s="392"/>
      <c r="AO108" s="392"/>
      <c r="AP108" s="392"/>
      <c r="AQ108" s="392"/>
      <c r="AR108" s="392"/>
      <c r="AS108" s="392"/>
      <c r="AT108" s="392"/>
      <c r="AU108" s="373"/>
      <c r="BA108" s="441" t="str">
        <f t="shared" si="45"/>
        <v/>
      </c>
    </row>
    <row r="109" spans="1:55" s="390" customFormat="1" ht="12" customHeight="1" x14ac:dyDescent="0.15">
      <c r="A109" s="396"/>
      <c r="B109" s="396"/>
      <c r="C109" s="396"/>
      <c r="D109" s="396"/>
      <c r="E109" s="396"/>
      <c r="F109" s="382"/>
      <c r="G109" s="398"/>
      <c r="H109" s="384"/>
      <c r="I109" s="384"/>
      <c r="J109" s="384"/>
      <c r="K109" s="384"/>
      <c r="L109" s="442"/>
      <c r="M109" s="395"/>
      <c r="N109" s="395"/>
      <c r="O109" s="395"/>
      <c r="P109" s="395"/>
      <c r="Q109" s="394"/>
      <c r="R109" s="504"/>
      <c r="S109" s="393"/>
      <c r="T109" s="392"/>
      <c r="U109" s="392"/>
      <c r="V109" s="392"/>
      <c r="W109" s="392"/>
      <c r="X109" s="392"/>
      <c r="Y109" s="392"/>
      <c r="Z109" s="392"/>
      <c r="AA109" s="392"/>
      <c r="AB109" s="392"/>
      <c r="AC109" s="392"/>
      <c r="AD109" s="392"/>
      <c r="AE109" s="392"/>
      <c r="AF109" s="392"/>
      <c r="AG109" s="392"/>
      <c r="AH109" s="392"/>
      <c r="AI109" s="392"/>
      <c r="AJ109" s="392"/>
      <c r="AK109" s="392"/>
      <c r="AL109" s="392"/>
      <c r="AM109" s="392"/>
      <c r="AN109" s="392"/>
      <c r="AO109" s="392"/>
      <c r="AP109" s="392"/>
      <c r="AQ109" s="392"/>
      <c r="AR109" s="392"/>
      <c r="AS109" s="392"/>
      <c r="AT109" s="392"/>
      <c r="AU109" s="373"/>
      <c r="BA109" s="441" t="str">
        <f t="shared" si="45"/>
        <v/>
      </c>
    </row>
    <row r="110" spans="1:55" s="13" customFormat="1" ht="12" customHeight="1" x14ac:dyDescent="0.15">
      <c r="A110" s="6"/>
      <c r="B110" s="6"/>
      <c r="C110" s="6"/>
      <c r="D110" s="6"/>
      <c r="E110" s="6"/>
      <c r="F110" s="101"/>
      <c r="G110" s="102"/>
      <c r="H110" s="75"/>
      <c r="I110" s="75"/>
      <c r="J110" s="75"/>
      <c r="K110" s="75"/>
      <c r="L110" s="21"/>
      <c r="M110" s="21"/>
      <c r="N110" s="8"/>
      <c r="O110" s="8"/>
      <c r="P110" s="7"/>
      <c r="Q110" s="75"/>
      <c r="R110" s="6"/>
      <c r="BA110" s="441" t="str">
        <f t="shared" si="45"/>
        <v/>
      </c>
    </row>
    <row r="111" spans="1:55" s="13" customFormat="1" ht="12" customHeight="1" x14ac:dyDescent="0.15">
      <c r="A111" s="6"/>
      <c r="B111" s="6"/>
      <c r="C111" s="6"/>
      <c r="D111" s="6"/>
      <c r="E111" s="6"/>
      <c r="F111" s="101"/>
      <c r="G111" s="102"/>
      <c r="H111" s="75"/>
      <c r="I111" s="75"/>
      <c r="J111" s="75"/>
      <c r="K111" s="75"/>
      <c r="L111" s="21"/>
      <c r="M111" s="21"/>
      <c r="N111" s="8"/>
      <c r="O111" s="8"/>
      <c r="P111" s="7"/>
      <c r="Q111" s="75"/>
      <c r="R111" s="6"/>
      <c r="BA111" s="6">
        <f>SUM(BA5:BA110)</f>
        <v>33</v>
      </c>
    </row>
    <row r="112" spans="1:55" s="13" customFormat="1" ht="12" customHeight="1" x14ac:dyDescent="0.15">
      <c r="A112" s="6"/>
      <c r="B112" s="6"/>
      <c r="C112" s="6"/>
      <c r="D112" s="6"/>
      <c r="E112" s="6"/>
      <c r="F112" s="101"/>
      <c r="G112" s="11" t="s">
        <v>1573</v>
      </c>
      <c r="H112" s="75">
        <f>COUNT(L5:L110)</f>
        <v>55</v>
      </c>
      <c r="I112" s="75"/>
      <c r="J112" s="75"/>
      <c r="K112" s="75"/>
      <c r="L112" s="21"/>
      <c r="M112" s="21"/>
      <c r="N112" s="8"/>
      <c r="O112" s="8"/>
      <c r="P112" s="7"/>
      <c r="Q112" s="75"/>
      <c r="R112" s="6"/>
      <c r="BA112" s="6"/>
    </row>
    <row r="113" spans="1:53" s="13" customFormat="1" ht="12" customHeight="1" x14ac:dyDescent="0.15">
      <c r="A113" s="6"/>
      <c r="B113" s="6"/>
      <c r="C113" s="6"/>
      <c r="D113" s="6"/>
      <c r="E113" s="6"/>
      <c r="F113" s="101"/>
      <c r="G113" s="11" t="s">
        <v>1588</v>
      </c>
      <c r="H113" s="75">
        <f>BA111</f>
        <v>33</v>
      </c>
      <c r="I113" s="75"/>
      <c r="J113" s="75"/>
      <c r="K113" s="75"/>
      <c r="L113" s="21"/>
      <c r="M113" s="21"/>
      <c r="N113" s="8"/>
      <c r="O113" s="8"/>
      <c r="P113" s="7"/>
      <c r="Q113" s="75"/>
      <c r="R113" s="6"/>
      <c r="BA113" s="6"/>
    </row>
    <row r="114" spans="1:53" s="13" customFormat="1" ht="12" customHeight="1" x14ac:dyDescent="0.15">
      <c r="A114" s="6"/>
      <c r="B114" s="6"/>
      <c r="C114" s="110"/>
      <c r="D114" s="6"/>
      <c r="E114" s="6"/>
      <c r="F114" s="101"/>
      <c r="G114" s="11" t="s">
        <v>1589</v>
      </c>
      <c r="H114" s="527">
        <f>H113/H112</f>
        <v>0.6</v>
      </c>
      <c r="I114" s="75"/>
      <c r="J114" s="75"/>
      <c r="K114" s="75"/>
      <c r="L114" s="21"/>
      <c r="M114" s="21"/>
      <c r="N114" s="8"/>
      <c r="O114" s="8"/>
      <c r="P114" s="7"/>
      <c r="Q114" s="75"/>
      <c r="R114" s="6"/>
      <c r="BA114" s="6"/>
    </row>
    <row r="115" spans="1:53" s="13" customFormat="1" ht="12" customHeight="1" x14ac:dyDescent="0.15">
      <c r="A115" s="6"/>
      <c r="B115" s="6"/>
      <c r="C115" s="6"/>
      <c r="D115" s="6"/>
      <c r="E115" s="6"/>
      <c r="F115" s="101"/>
      <c r="G115" s="102"/>
      <c r="H115" s="75"/>
      <c r="I115" s="75"/>
      <c r="J115" s="75"/>
      <c r="K115" s="75"/>
      <c r="L115" s="21"/>
      <c r="M115" s="21"/>
      <c r="N115" s="8"/>
      <c r="O115" s="8"/>
      <c r="P115" s="7"/>
      <c r="Q115" s="75"/>
      <c r="R115" s="6"/>
      <c r="BA115" s="6"/>
    </row>
    <row r="116" spans="1:53" s="13" customFormat="1" ht="12" customHeight="1" x14ac:dyDescent="0.15">
      <c r="A116" s="6"/>
      <c r="B116" s="6"/>
      <c r="C116" s="6"/>
      <c r="D116" s="6"/>
      <c r="E116" s="6"/>
      <c r="F116" s="91"/>
      <c r="G116" s="92"/>
      <c r="H116" s="93"/>
      <c r="I116" s="93"/>
      <c r="J116" s="93"/>
      <c r="K116" s="93"/>
      <c r="L116" s="99"/>
      <c r="M116" s="100"/>
      <c r="N116" s="334"/>
      <c r="O116" s="334"/>
      <c r="P116" s="149"/>
      <c r="Q116" s="103"/>
      <c r="R116" s="6"/>
      <c r="S116" s="14"/>
      <c r="T116" s="14"/>
      <c r="BA116" s="6"/>
    </row>
    <row r="117" spans="1:53" s="13" customFormat="1" ht="12" customHeight="1" x14ac:dyDescent="0.15">
      <c r="A117" s="6"/>
      <c r="B117" s="6"/>
      <c r="C117" s="6"/>
      <c r="D117" s="6"/>
      <c r="E117" s="6"/>
      <c r="F117" s="105" t="s">
        <v>852</v>
      </c>
      <c r="G117" s="131" t="e">
        <f>SUM(G$5:G$74)/COUNT(G$5:G$74)</f>
        <v>#DIV/0!</v>
      </c>
      <c r="H117" s="132"/>
      <c r="I117" s="132"/>
      <c r="J117" s="132"/>
      <c r="K117" s="132"/>
      <c r="L117" s="98"/>
      <c r="M117" s="98"/>
      <c r="N117" s="335"/>
      <c r="O117" s="335"/>
      <c r="P117" s="133"/>
      <c r="Q117" s="133"/>
      <c r="R117" s="6"/>
      <c r="BA117" s="6"/>
    </row>
    <row r="118" spans="1:53" s="13" customFormat="1" ht="12" customHeight="1" x14ac:dyDescent="0.15">
      <c r="A118" s="6"/>
      <c r="B118" s="6"/>
      <c r="C118" s="6"/>
      <c r="D118" s="6"/>
      <c r="E118" s="6"/>
      <c r="F118" s="105"/>
      <c r="G118" s="151"/>
      <c r="H118" s="132"/>
      <c r="I118" s="132"/>
      <c r="J118" s="132"/>
      <c r="K118" s="132"/>
      <c r="L118" s="152"/>
      <c r="M118" s="152"/>
      <c r="N118" s="335"/>
      <c r="O118" s="335"/>
      <c r="P118" s="133"/>
      <c r="Q118" s="133"/>
      <c r="R118" s="6"/>
      <c r="BA118" s="6"/>
    </row>
    <row r="119" spans="1:53" s="13" customFormat="1" ht="12" customHeight="1" x14ac:dyDescent="0.15">
      <c r="A119" s="6"/>
      <c r="B119" s="6"/>
      <c r="C119" s="6"/>
      <c r="D119" s="6"/>
      <c r="E119" s="6"/>
      <c r="F119" s="105"/>
      <c r="G119" s="153" t="s">
        <v>1148</v>
      </c>
      <c r="H119" s="154">
        <f>SUM(H$2:H$110)</f>
        <v>493</v>
      </c>
      <c r="I119" s="154">
        <f>SUM(I$2:I$110)</f>
        <v>54</v>
      </c>
      <c r="J119" s="154">
        <f>SUM(J$2:J$110)</f>
        <v>70</v>
      </c>
      <c r="K119" s="154">
        <f>SUM(K$2:K$110)</f>
        <v>60</v>
      </c>
      <c r="L119" s="86">
        <f>SUM(L$2:L$110)</f>
        <v>403423</v>
      </c>
      <c r="M119" s="92"/>
      <c r="N119" s="63"/>
      <c r="O119" s="63"/>
      <c r="P119" s="155"/>
      <c r="Q119" s="155"/>
      <c r="R119" s="37" t="s">
        <v>361</v>
      </c>
      <c r="BA119" s="6"/>
    </row>
    <row r="120" spans="1:53" s="13" customFormat="1" ht="12" customHeight="1" x14ac:dyDescent="0.15">
      <c r="A120" s="6"/>
      <c r="B120" s="6"/>
      <c r="C120" s="6"/>
      <c r="D120" s="6"/>
      <c r="E120" s="6"/>
      <c r="F120" s="105"/>
      <c r="G120" s="123" t="s">
        <v>1273</v>
      </c>
      <c r="H120" s="154"/>
      <c r="I120" s="154"/>
      <c r="J120" s="154"/>
      <c r="K120" s="154"/>
      <c r="L120" s="86">
        <f>L119/H119</f>
        <v>818.30223123732253</v>
      </c>
      <c r="M120" s="92"/>
      <c r="N120" s="63"/>
      <c r="O120" s="63"/>
      <c r="P120" s="155"/>
      <c r="Q120" s="155"/>
      <c r="R120" s="37"/>
      <c r="BA120" s="6"/>
    </row>
    <row r="121" spans="1:53" s="13" customFormat="1" ht="12" customHeight="1" x14ac:dyDescent="0.15">
      <c r="A121" s="6"/>
      <c r="B121" s="6"/>
      <c r="C121" s="6"/>
      <c r="D121" s="6"/>
      <c r="E121" s="6"/>
      <c r="F121" s="71"/>
      <c r="G121" s="21" t="s">
        <v>1252</v>
      </c>
      <c r="H121" s="528">
        <f>I119/H119</f>
        <v>0.10953346855983773</v>
      </c>
      <c r="I121" s="75"/>
      <c r="J121" s="75"/>
      <c r="K121" s="75"/>
      <c r="L121" s="157"/>
      <c r="M121" s="157"/>
      <c r="N121" s="339"/>
      <c r="O121" s="339"/>
      <c r="P121" s="7"/>
      <c r="Q121" s="7"/>
      <c r="R121" s="6"/>
      <c r="BA121" s="6"/>
    </row>
    <row r="122" spans="1:53" s="112" customFormat="1" ht="12" customHeight="1" x14ac:dyDescent="0.15">
      <c r="A122" s="110"/>
      <c r="B122" s="110"/>
      <c r="C122" s="110"/>
      <c r="D122" s="110"/>
      <c r="E122" s="110"/>
      <c r="F122" s="107"/>
      <c r="G122" s="21" t="s">
        <v>1253</v>
      </c>
      <c r="H122" s="528">
        <f>(SUM(I119:K119)/H119)</f>
        <v>0.37322515212981744</v>
      </c>
      <c r="I122" s="134"/>
      <c r="J122" s="134"/>
      <c r="K122" s="134"/>
      <c r="L122" s="158"/>
      <c r="M122" s="158"/>
      <c r="N122" s="340"/>
      <c r="O122" s="340"/>
      <c r="P122" s="159"/>
      <c r="Q122" s="159"/>
      <c r="R122" s="110"/>
      <c r="BA122" s="6"/>
    </row>
    <row r="123" spans="1:53" s="13" customFormat="1" ht="12" customHeight="1" x14ac:dyDescent="0.15">
      <c r="A123" s="6"/>
      <c r="B123" s="6"/>
      <c r="C123" s="6"/>
      <c r="D123" s="6"/>
      <c r="E123" s="6"/>
      <c r="F123" s="101"/>
      <c r="G123" s="102"/>
      <c r="H123" s="103"/>
      <c r="I123" s="103"/>
      <c r="J123" s="103"/>
      <c r="K123" s="103"/>
      <c r="L123" s="160"/>
      <c r="M123" s="160"/>
      <c r="N123" s="338"/>
      <c r="O123" s="338"/>
      <c r="P123" s="127"/>
      <c r="Q123" s="127"/>
      <c r="R123" s="6"/>
      <c r="BA123" s="6"/>
    </row>
    <row r="124" spans="1:53" x14ac:dyDescent="0.15">
      <c r="A124" s="373"/>
      <c r="B124" s="373"/>
      <c r="C124" s="373"/>
      <c r="D124" s="373"/>
      <c r="E124" s="373"/>
      <c r="F124" s="373"/>
      <c r="G124" s="373"/>
      <c r="H124" s="373"/>
      <c r="I124" s="373"/>
      <c r="J124" s="373"/>
      <c r="K124" s="373"/>
      <c r="L124" s="373"/>
      <c r="M124" s="380"/>
      <c r="N124" s="380"/>
      <c r="O124" s="380"/>
      <c r="P124" s="373"/>
      <c r="Q124" s="373"/>
      <c r="R124" s="373"/>
      <c r="S124" s="373"/>
      <c r="T124" s="373"/>
    </row>
    <row r="125" spans="1:53" x14ac:dyDescent="0.15">
      <c r="A125" s="373"/>
      <c r="B125" s="373"/>
      <c r="C125" s="373"/>
      <c r="D125" s="373"/>
      <c r="E125" s="373"/>
      <c r="F125" s="373"/>
      <c r="G125" s="373"/>
      <c r="H125" s="373"/>
      <c r="I125" s="373"/>
      <c r="J125" s="373"/>
      <c r="K125" s="373"/>
      <c r="L125" s="373"/>
      <c r="M125" s="374"/>
      <c r="N125" s="374"/>
      <c r="O125" s="374"/>
      <c r="P125" s="373"/>
      <c r="Q125" s="373"/>
      <c r="R125" s="373"/>
      <c r="S125" s="373"/>
      <c r="T125" s="373"/>
    </row>
    <row r="126" spans="1:53" x14ac:dyDescent="0.15">
      <c r="A126" s="373"/>
      <c r="B126" s="373"/>
      <c r="C126" s="373"/>
      <c r="D126" s="373"/>
      <c r="E126" s="373"/>
      <c r="F126" s="373"/>
      <c r="G126" s="373"/>
      <c r="H126" s="373"/>
      <c r="I126" s="373"/>
      <c r="J126" s="373"/>
      <c r="K126" s="373"/>
      <c r="L126" s="373"/>
      <c r="M126" s="374"/>
      <c r="N126" s="374"/>
      <c r="O126" s="374"/>
      <c r="P126" s="373"/>
      <c r="Q126" s="373"/>
      <c r="R126" s="373"/>
      <c r="S126" s="373"/>
      <c r="T126" s="373"/>
    </row>
    <row r="127" spans="1:53" x14ac:dyDescent="0.15">
      <c r="A127" s="373"/>
      <c r="B127" s="373"/>
      <c r="C127" s="373"/>
      <c r="D127" s="373"/>
      <c r="E127" s="373"/>
      <c r="F127" s="373"/>
      <c r="G127" s="373"/>
      <c r="H127" s="373"/>
      <c r="I127" s="373"/>
      <c r="J127" s="373"/>
      <c r="K127" s="373"/>
      <c r="L127" s="373"/>
      <c r="M127" s="374"/>
      <c r="N127" s="374"/>
      <c r="O127" s="374"/>
      <c r="P127" s="373"/>
      <c r="Q127" s="373"/>
      <c r="R127" s="373"/>
      <c r="S127" s="373"/>
      <c r="T127" s="373"/>
    </row>
    <row r="128" spans="1:53" x14ac:dyDescent="0.15">
      <c r="A128" s="373"/>
      <c r="B128" s="373"/>
      <c r="C128" s="373"/>
      <c r="D128" s="373"/>
      <c r="E128" s="373"/>
      <c r="F128" s="373"/>
      <c r="G128" s="373"/>
      <c r="H128" s="373"/>
      <c r="I128" s="373"/>
      <c r="J128" s="373"/>
      <c r="K128" s="373"/>
      <c r="L128" s="373"/>
      <c r="M128" s="374"/>
      <c r="N128" s="374"/>
      <c r="O128" s="374"/>
      <c r="P128" s="373"/>
      <c r="Q128" s="373"/>
      <c r="R128" s="373"/>
      <c r="S128" s="373"/>
      <c r="T128" s="373"/>
    </row>
    <row r="129" spans="1:20" x14ac:dyDescent="0.15">
      <c r="A129" s="373"/>
      <c r="B129" s="373"/>
      <c r="C129" s="373"/>
      <c r="D129" s="373"/>
      <c r="E129" s="373"/>
      <c r="F129" s="373"/>
      <c r="G129" s="373"/>
      <c r="H129" s="373"/>
      <c r="I129" s="373"/>
      <c r="J129" s="373"/>
      <c r="K129" s="373"/>
      <c r="L129" s="373"/>
      <c r="M129" s="374"/>
      <c r="N129" s="374"/>
      <c r="O129" s="374"/>
      <c r="P129" s="373"/>
      <c r="Q129" s="373"/>
      <c r="R129" s="373"/>
      <c r="S129" s="373"/>
      <c r="T129" s="373"/>
    </row>
    <row r="130" spans="1:20" x14ac:dyDescent="0.15">
      <c r="A130" s="373"/>
      <c r="B130" s="373"/>
      <c r="C130" s="373"/>
      <c r="D130" s="373"/>
      <c r="E130" s="373"/>
      <c r="F130" s="373"/>
      <c r="G130" s="373"/>
      <c r="H130" s="373"/>
      <c r="I130" s="373"/>
      <c r="J130" s="373"/>
      <c r="K130" s="373"/>
      <c r="L130" s="373"/>
      <c r="M130" s="374"/>
      <c r="N130" s="374"/>
      <c r="O130" s="374"/>
      <c r="P130" s="373"/>
      <c r="Q130" s="373"/>
      <c r="R130" s="373"/>
      <c r="S130" s="373"/>
      <c r="T130" s="373"/>
    </row>
    <row r="131" spans="1:20" x14ac:dyDescent="0.15">
      <c r="A131" s="373"/>
      <c r="B131" s="373"/>
      <c r="C131" s="373"/>
      <c r="D131" s="373"/>
      <c r="E131" s="373"/>
      <c r="F131" s="373"/>
      <c r="G131" s="373"/>
      <c r="H131" s="373"/>
      <c r="I131" s="373"/>
      <c r="J131" s="373"/>
      <c r="K131" s="373"/>
      <c r="L131" s="373"/>
      <c r="M131" s="374"/>
      <c r="N131" s="374"/>
      <c r="O131" s="374"/>
      <c r="P131" s="373"/>
      <c r="Q131" s="373"/>
      <c r="R131" s="373"/>
      <c r="S131" s="373"/>
      <c r="T131" s="373"/>
    </row>
    <row r="132" spans="1:20" x14ac:dyDescent="0.15">
      <c r="A132" s="373"/>
      <c r="B132" s="373"/>
      <c r="C132" s="373"/>
      <c r="D132" s="373"/>
      <c r="E132" s="373"/>
      <c r="F132" s="373"/>
      <c r="G132" s="373"/>
      <c r="H132" s="373"/>
      <c r="I132" s="373"/>
      <c r="J132" s="373"/>
      <c r="K132" s="373"/>
      <c r="L132" s="373"/>
      <c r="M132" s="374"/>
      <c r="N132" s="374"/>
      <c r="O132" s="374"/>
      <c r="P132" s="373"/>
      <c r="Q132" s="373"/>
      <c r="R132" s="373"/>
      <c r="S132" s="373"/>
      <c r="T132" s="373"/>
    </row>
    <row r="133" spans="1:20" x14ac:dyDescent="0.15">
      <c r="A133" s="373"/>
      <c r="B133" s="373"/>
      <c r="C133" s="373"/>
      <c r="D133" s="373"/>
      <c r="E133" s="373"/>
      <c r="F133" s="373"/>
      <c r="G133" s="373"/>
      <c r="H133" s="373"/>
      <c r="I133" s="373"/>
      <c r="J133" s="373"/>
      <c r="K133" s="373"/>
      <c r="L133" s="373"/>
      <c r="M133" s="374"/>
      <c r="N133" s="374"/>
      <c r="O133" s="374"/>
      <c r="P133" s="373"/>
      <c r="Q133" s="373"/>
      <c r="R133" s="373"/>
      <c r="S133" s="373"/>
      <c r="T133" s="373"/>
    </row>
    <row r="134" spans="1:20" x14ac:dyDescent="0.15">
      <c r="A134" s="373"/>
      <c r="B134" s="373"/>
      <c r="C134" s="373"/>
      <c r="D134" s="373"/>
      <c r="E134" s="373"/>
      <c r="F134" s="373"/>
      <c r="G134" s="373"/>
      <c r="H134" s="373"/>
      <c r="I134" s="373"/>
      <c r="J134" s="373"/>
      <c r="K134" s="373"/>
      <c r="L134" s="373"/>
      <c r="M134" s="374"/>
      <c r="N134" s="374"/>
      <c r="O134" s="374"/>
      <c r="P134" s="373"/>
      <c r="Q134" s="373"/>
      <c r="R134" s="373"/>
      <c r="S134" s="373"/>
      <c r="T134" s="373"/>
    </row>
  </sheetData>
  <pageMargins left="0.7" right="0.7" top="0.75" bottom="0.75" header="0.3" footer="0.3"/>
  <pageSetup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23"/>
  <sheetViews>
    <sheetView workbookViewId="0">
      <pane ySplit="3" topLeftCell="A4" activePane="bottomLeft" state="frozen"/>
      <selection pane="bottomLeft" activeCell="H14" sqref="H14"/>
    </sheetView>
  </sheetViews>
  <sheetFormatPr baseColWidth="10" defaultColWidth="9.1640625" defaultRowHeight="12" x14ac:dyDescent="0.15"/>
  <cols>
    <col min="1" max="1" width="20.1640625" style="6" customWidth="1"/>
    <col min="2" max="2" width="12.83203125" style="6" customWidth="1"/>
    <col min="3" max="3" width="23.33203125" style="6" customWidth="1"/>
    <col min="4" max="4" width="18.5" style="6" customWidth="1"/>
    <col min="5" max="5" width="17.1640625" style="6" customWidth="1"/>
    <col min="6" max="6" width="10.33203125" style="101" customWidth="1"/>
    <col min="7" max="7" width="10.33203125" style="102" customWidth="1"/>
    <col min="8" max="8" width="4.5" style="75" customWidth="1"/>
    <col min="9" max="11" width="3.5" style="75" customWidth="1"/>
    <col min="12" max="12" width="9.5" style="21" customWidth="1"/>
    <col min="13" max="15" width="9.6640625" style="21" customWidth="1"/>
    <col min="16" max="16" width="12.6640625" style="7" customWidth="1"/>
    <col min="17" max="17" width="11.6640625" style="75" customWidth="1"/>
    <col min="18" max="18" width="9.1640625" style="6"/>
    <col min="19" max="19" width="2.6640625" style="14" customWidth="1"/>
    <col min="20" max="20" width="9.1640625" style="14"/>
    <col min="21" max="21" width="11.5" style="13" customWidth="1"/>
    <col min="22" max="22" width="9.1640625" style="13"/>
    <col min="23" max="23" width="2.6640625" style="13" customWidth="1"/>
    <col min="24" max="16384" width="9.1640625" style="13"/>
  </cols>
  <sheetData>
    <row r="1" spans="1:56" ht="12" customHeight="1" x14ac:dyDescent="0.15">
      <c r="A1" s="6" t="s">
        <v>2435</v>
      </c>
    </row>
    <row r="2" spans="1:56" ht="12" customHeight="1" x14ac:dyDescent="0.15">
      <c r="A2" s="72"/>
      <c r="F2" s="73"/>
      <c r="G2" s="74" t="s">
        <v>436</v>
      </c>
      <c r="K2" s="76"/>
      <c r="L2" s="74" t="s">
        <v>624</v>
      </c>
      <c r="M2" s="74"/>
      <c r="N2" s="74"/>
      <c r="O2" s="74"/>
      <c r="P2" s="36"/>
      <c r="Q2" s="7"/>
      <c r="R2" s="7"/>
      <c r="U2" s="38"/>
      <c r="AC2" s="77"/>
    </row>
    <row r="3" spans="1:56" s="84" customFormat="1" ht="44" customHeight="1" thickBot="1" x14ac:dyDescent="0.2">
      <c r="A3" s="78" t="s">
        <v>720</v>
      </c>
      <c r="B3" s="78" t="s">
        <v>710</v>
      </c>
      <c r="C3" s="78" t="s">
        <v>844</v>
      </c>
      <c r="D3" s="78" t="s">
        <v>670</v>
      </c>
      <c r="E3" s="78" t="s">
        <v>310</v>
      </c>
      <c r="F3" s="79" t="s">
        <v>845</v>
      </c>
      <c r="G3" s="80" t="s">
        <v>635</v>
      </c>
      <c r="H3" s="81" t="s">
        <v>392</v>
      </c>
      <c r="I3" s="81" t="s">
        <v>393</v>
      </c>
      <c r="J3" s="81" t="s">
        <v>394</v>
      </c>
      <c r="K3" s="81" t="s">
        <v>395</v>
      </c>
      <c r="L3" s="82" t="s">
        <v>647</v>
      </c>
      <c r="M3" s="82" t="s">
        <v>1977</v>
      </c>
      <c r="N3" s="190" t="s">
        <v>2301</v>
      </c>
      <c r="O3" s="190" t="s">
        <v>2302</v>
      </c>
      <c r="P3" s="341" t="s">
        <v>120</v>
      </c>
      <c r="Q3" s="81" t="s">
        <v>1242</v>
      </c>
      <c r="R3" s="78" t="s">
        <v>669</v>
      </c>
      <c r="S3" s="83"/>
      <c r="T3" s="83"/>
    </row>
    <row r="4" spans="1:56" s="140" customFormat="1" ht="12" customHeight="1" thickTop="1" x14ac:dyDescent="0.15">
      <c r="A4" s="58" t="s">
        <v>3221</v>
      </c>
      <c r="B4" s="58" t="s">
        <v>3076</v>
      </c>
      <c r="C4" s="58" t="s">
        <v>1997</v>
      </c>
      <c r="D4" s="58" t="s">
        <v>1998</v>
      </c>
      <c r="E4" s="58" t="s">
        <v>2030</v>
      </c>
      <c r="F4" s="137">
        <v>41385</v>
      </c>
      <c r="G4" s="138">
        <v>10000</v>
      </c>
      <c r="H4" s="139">
        <v>4</v>
      </c>
      <c r="I4" s="139">
        <v>1</v>
      </c>
      <c r="J4" s="139">
        <v>0</v>
      </c>
      <c r="K4" s="139">
        <v>1</v>
      </c>
      <c r="L4" s="191">
        <f>3146+16302+0</f>
        <v>19448</v>
      </c>
      <c r="M4" s="191">
        <f>IF(H4="","--",L4/H4)</f>
        <v>4862</v>
      </c>
      <c r="N4" s="330">
        <f>IF(H4="","--",I4/H4)</f>
        <v>0.25</v>
      </c>
      <c r="O4" s="330">
        <f>IF(H4="","--",SUM(I4:K4)/H4)</f>
        <v>0.5</v>
      </c>
      <c r="P4" s="56" t="s">
        <v>5698</v>
      </c>
      <c r="Q4" s="56" t="s">
        <v>1809</v>
      </c>
      <c r="R4" s="58" t="s">
        <v>2131</v>
      </c>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BA4" s="441">
        <f>IF(I4="","",IF(I4=0,0,1))</f>
        <v>1</v>
      </c>
      <c r="BD4" s="141"/>
    </row>
    <row r="5" spans="1:56" s="140" customFormat="1" ht="12" customHeight="1" x14ac:dyDescent="0.15">
      <c r="A5" s="58" t="s">
        <v>2459</v>
      </c>
      <c r="B5" s="58" t="s">
        <v>1769</v>
      </c>
      <c r="C5" s="58" t="s">
        <v>2248</v>
      </c>
      <c r="D5" s="58" t="s">
        <v>1051</v>
      </c>
      <c r="E5" s="58" t="s">
        <v>2271</v>
      </c>
      <c r="F5" s="137">
        <v>41394</v>
      </c>
      <c r="G5" s="138"/>
      <c r="H5" s="139">
        <v>13</v>
      </c>
      <c r="I5" s="139">
        <v>1</v>
      </c>
      <c r="J5" s="139">
        <v>4</v>
      </c>
      <c r="K5" s="139">
        <v>2</v>
      </c>
      <c r="L5" s="191">
        <f>9009+10920+29640+10000+3000+1260+840+11446+7266+2520+1195+6006+840+3800</f>
        <v>97742</v>
      </c>
      <c r="M5" s="191">
        <f>IF(H5="","--",L5/H5)</f>
        <v>7518.6153846153848</v>
      </c>
      <c r="N5" s="330">
        <f>IF(H5="","--",I5/H5)</f>
        <v>7.6923076923076927E-2</v>
      </c>
      <c r="O5" s="330">
        <f>IF(H5="","--",SUM(I5:K5)/H5)</f>
        <v>0.53846153846153844</v>
      </c>
      <c r="P5" s="56" t="s">
        <v>5694</v>
      </c>
      <c r="Q5" s="56" t="s">
        <v>2324</v>
      </c>
      <c r="R5" s="58" t="s">
        <v>3272</v>
      </c>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BA5" s="441">
        <f>IF(I5="","",IF(I5=0,0,1))</f>
        <v>1</v>
      </c>
      <c r="BD5" s="141"/>
    </row>
    <row r="6" spans="1:56" s="140" customFormat="1" ht="12" customHeight="1" x14ac:dyDescent="0.15">
      <c r="A6" s="58" t="s">
        <v>3339</v>
      </c>
      <c r="B6" s="58" t="s">
        <v>1895</v>
      </c>
      <c r="C6" s="58" t="s">
        <v>1751</v>
      </c>
      <c r="D6" s="58" t="s">
        <v>1752</v>
      </c>
      <c r="E6" s="58" t="s">
        <v>1335</v>
      </c>
      <c r="F6" s="137">
        <v>41324</v>
      </c>
      <c r="G6" s="138"/>
      <c r="H6" s="139">
        <v>9</v>
      </c>
      <c r="I6" s="139">
        <v>1</v>
      </c>
      <c r="J6" s="139">
        <v>3</v>
      </c>
      <c r="K6" s="139">
        <v>0</v>
      </c>
      <c r="L6" s="191">
        <f>500+2400+24000+8400+1530+200+8400+7560+200</f>
        <v>53190</v>
      </c>
      <c r="M6" s="191">
        <f t="shared" ref="M6:M19" si="0">IF(H6="","--",L6/H6)</f>
        <v>5910</v>
      </c>
      <c r="N6" s="330">
        <f t="shared" ref="N6:N19" si="1">IF(H6="","--",I6/H6)</f>
        <v>0.1111111111111111</v>
      </c>
      <c r="O6" s="330">
        <f t="shared" ref="O6:O19" si="2">IF(H6="","--",SUM(I6:K6)/H6)</f>
        <v>0.44444444444444442</v>
      </c>
      <c r="P6" s="56" t="s">
        <v>5637</v>
      </c>
      <c r="Q6" s="56" t="s">
        <v>1311</v>
      </c>
      <c r="R6" s="58"/>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BA6" s="441">
        <f t="shared" ref="BA6:BA11" si="3">IF(I6="","",IF(I6=0,0,1))</f>
        <v>1</v>
      </c>
      <c r="BD6" s="141"/>
    </row>
    <row r="7" spans="1:56" s="140" customFormat="1" ht="12" customHeight="1" x14ac:dyDescent="0.15">
      <c r="A7" s="58" t="s">
        <v>4900</v>
      </c>
      <c r="B7" s="58" t="s">
        <v>3467</v>
      </c>
      <c r="C7" s="58" t="s">
        <v>3068</v>
      </c>
      <c r="D7" s="58" t="s">
        <v>904</v>
      </c>
      <c r="E7" s="58" t="s">
        <v>3071</v>
      </c>
      <c r="F7" s="137">
        <v>41339</v>
      </c>
      <c r="G7" s="138"/>
      <c r="H7" s="139">
        <v>10</v>
      </c>
      <c r="I7" s="139">
        <v>1</v>
      </c>
      <c r="J7" s="139">
        <v>3</v>
      </c>
      <c r="K7" s="139">
        <v>0</v>
      </c>
      <c r="L7" s="191">
        <f>100+741+100+4540+4520+4560+13560+0+2360+100</f>
        <v>30581</v>
      </c>
      <c r="M7" s="191">
        <f>IF(H7="","--",L7/H7)</f>
        <v>3058.1</v>
      </c>
      <c r="N7" s="330">
        <f>IF(H7="","--",I7/H7)</f>
        <v>0.1</v>
      </c>
      <c r="O7" s="330">
        <f>IF(H7="","--",SUM(I7:K7)/H7)</f>
        <v>0.4</v>
      </c>
      <c r="P7" s="56" t="s">
        <v>5644</v>
      </c>
      <c r="Q7" s="56" t="s">
        <v>1893</v>
      </c>
      <c r="R7" s="58"/>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BA7" s="441">
        <f>IF(I7="","",IF(I7=0,0,1))</f>
        <v>1</v>
      </c>
      <c r="BD7" s="141"/>
    </row>
    <row r="8" spans="1:56" s="140" customFormat="1" ht="12" customHeight="1" x14ac:dyDescent="0.15">
      <c r="A8" s="58" t="s">
        <v>3266</v>
      </c>
      <c r="B8" s="58" t="s">
        <v>1895</v>
      </c>
      <c r="C8" s="58" t="s">
        <v>2245</v>
      </c>
      <c r="D8" s="58" t="s">
        <v>2254</v>
      </c>
      <c r="E8" s="58" t="s">
        <v>2267</v>
      </c>
      <c r="F8" s="137">
        <v>41319</v>
      </c>
      <c r="G8" s="138"/>
      <c r="H8" s="139">
        <v>7</v>
      </c>
      <c r="I8" s="139">
        <v>1</v>
      </c>
      <c r="J8" s="139">
        <v>1</v>
      </c>
      <c r="K8" s="139">
        <v>2</v>
      </c>
      <c r="L8" s="191">
        <f>41700+500+11000</f>
        <v>53200</v>
      </c>
      <c r="M8" s="191">
        <f>IF(H8="","--",L8/H8)</f>
        <v>7600</v>
      </c>
      <c r="N8" s="330">
        <f>IF(H8="","--",I8/H8)</f>
        <v>0.14285714285714285</v>
      </c>
      <c r="O8" s="330">
        <f>IF(H8="","--",SUM(I8:K8)/H8)</f>
        <v>0.5714285714285714</v>
      </c>
      <c r="P8" s="56" t="s">
        <v>5662</v>
      </c>
      <c r="Q8" s="56" t="s">
        <v>1311</v>
      </c>
      <c r="R8" s="58" t="s">
        <v>5319</v>
      </c>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BA8" s="441">
        <f>IF(I8="","",IF(I8=0,0,1))</f>
        <v>1</v>
      </c>
      <c r="BD8" s="141"/>
    </row>
    <row r="9" spans="1:56" s="140" customFormat="1" ht="12" customHeight="1" x14ac:dyDescent="0.15">
      <c r="A9" s="58" t="s">
        <v>3178</v>
      </c>
      <c r="B9" s="58" t="s">
        <v>1988</v>
      </c>
      <c r="C9" s="58" t="s">
        <v>2246</v>
      </c>
      <c r="D9" s="58" t="s">
        <v>2255</v>
      </c>
      <c r="E9" s="58" t="s">
        <v>2268</v>
      </c>
      <c r="F9" s="137">
        <v>41323</v>
      </c>
      <c r="G9" s="138"/>
      <c r="H9" s="139">
        <v>9</v>
      </c>
      <c r="I9" s="139">
        <v>1</v>
      </c>
      <c r="J9" s="139">
        <v>1</v>
      </c>
      <c r="K9" s="139">
        <v>2</v>
      </c>
      <c r="L9" s="191">
        <f>66090+200</f>
        <v>66290</v>
      </c>
      <c r="M9" s="191">
        <f t="shared" si="0"/>
        <v>7365.5555555555557</v>
      </c>
      <c r="N9" s="330">
        <f t="shared" si="1"/>
        <v>0.1111111111111111</v>
      </c>
      <c r="O9" s="330">
        <f t="shared" si="2"/>
        <v>0.44444444444444442</v>
      </c>
      <c r="P9" s="56" t="s">
        <v>5637</v>
      </c>
      <c r="Q9" s="56" t="s">
        <v>1311</v>
      </c>
      <c r="R9" s="58"/>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BA9" s="441">
        <f>IF(I9="","",IF(I9=0,0,1))</f>
        <v>1</v>
      </c>
      <c r="BD9" s="141"/>
    </row>
    <row r="10" spans="1:56" s="140" customFormat="1" ht="12" customHeight="1" x14ac:dyDescent="0.15">
      <c r="A10" s="58" t="s">
        <v>3183</v>
      </c>
      <c r="B10" s="58" t="s">
        <v>2173</v>
      </c>
      <c r="C10" s="58" t="s">
        <v>2007</v>
      </c>
      <c r="D10" s="58" t="s">
        <v>2008</v>
      </c>
      <c r="E10" s="58" t="s">
        <v>2009</v>
      </c>
      <c r="F10" s="137">
        <v>41353</v>
      </c>
      <c r="G10" s="138"/>
      <c r="H10" s="139">
        <v>6</v>
      </c>
      <c r="I10" s="139">
        <v>1</v>
      </c>
      <c r="J10" s="139">
        <v>1</v>
      </c>
      <c r="K10" s="139">
        <v>0</v>
      </c>
      <c r="L10" s="191">
        <f>220+6080+15600+300+1300+260</f>
        <v>23760</v>
      </c>
      <c r="M10" s="191">
        <f>IF(H10="","--",L10/H10)</f>
        <v>3960</v>
      </c>
      <c r="N10" s="330">
        <f>IF(H10="","--",I10/H10)</f>
        <v>0.16666666666666666</v>
      </c>
      <c r="O10" s="330">
        <f>IF(H10="","--",SUM(I10:K10)/H10)</f>
        <v>0.33333333333333331</v>
      </c>
      <c r="P10" s="56" t="s">
        <v>5726</v>
      </c>
      <c r="Q10" s="56" t="s">
        <v>3638</v>
      </c>
      <c r="R10" s="58"/>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BA10" s="441">
        <f>IF(I10="","",IF(I10=0,0,1))</f>
        <v>1</v>
      </c>
      <c r="BD10" s="141"/>
    </row>
    <row r="11" spans="1:56" s="140" customFormat="1" ht="12" customHeight="1" x14ac:dyDescent="0.15">
      <c r="A11" s="58" t="s">
        <v>3204</v>
      </c>
      <c r="B11" s="58" t="s">
        <v>3271</v>
      </c>
      <c r="C11" s="58" t="s">
        <v>2406</v>
      </c>
      <c r="D11" s="58" t="s">
        <v>608</v>
      </c>
      <c r="E11" s="58" t="s">
        <v>2408</v>
      </c>
      <c r="F11" s="137">
        <v>41380</v>
      </c>
      <c r="G11" s="138">
        <v>3000</v>
      </c>
      <c r="H11" s="139">
        <v>12</v>
      </c>
      <c r="I11" s="139">
        <v>1</v>
      </c>
      <c r="J11" s="139">
        <v>1</v>
      </c>
      <c r="K11" s="139">
        <v>1</v>
      </c>
      <c r="L11" s="191">
        <f>24453+125+0+0+0+0+0+0+0+0+6006+2717</f>
        <v>33301</v>
      </c>
      <c r="M11" s="191">
        <f t="shared" si="0"/>
        <v>2775.0833333333335</v>
      </c>
      <c r="N11" s="330">
        <f t="shared" si="1"/>
        <v>8.3333333333333329E-2</v>
      </c>
      <c r="O11" s="330">
        <f t="shared" si="2"/>
        <v>0.25</v>
      </c>
      <c r="P11" s="56" t="s">
        <v>5718</v>
      </c>
      <c r="Q11" s="56" t="s">
        <v>141</v>
      </c>
      <c r="R11" s="58" t="s">
        <v>3297</v>
      </c>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BA11" s="441">
        <f t="shared" si="3"/>
        <v>1</v>
      </c>
      <c r="BD11" s="141"/>
    </row>
    <row r="12" spans="1:56" s="90" customFormat="1" ht="12" customHeight="1" x14ac:dyDescent="0.15">
      <c r="A12" s="142" t="s">
        <v>3174</v>
      </c>
      <c r="B12" s="142" t="s">
        <v>1895</v>
      </c>
      <c r="C12" s="142" t="s">
        <v>1984</v>
      </c>
      <c r="D12" s="142" t="s">
        <v>1985</v>
      </c>
      <c r="E12" s="142" t="s">
        <v>1775</v>
      </c>
      <c r="F12" s="143">
        <v>41368</v>
      </c>
      <c r="G12" s="144"/>
      <c r="H12" s="145">
        <v>3</v>
      </c>
      <c r="I12" s="145">
        <v>0</v>
      </c>
      <c r="J12" s="145">
        <v>0</v>
      </c>
      <c r="K12" s="145">
        <v>0</v>
      </c>
      <c r="L12" s="146">
        <f>0+0+0</f>
        <v>0</v>
      </c>
      <c r="M12" s="146">
        <f t="shared" ref="M12:M18" si="4">IF(H12="","--",L12/H12)</f>
        <v>0</v>
      </c>
      <c r="N12" s="331">
        <f t="shared" ref="N12:N18" si="5">IF(H12="","--",I12/H12)</f>
        <v>0</v>
      </c>
      <c r="O12" s="331">
        <f t="shared" ref="O12:O18" si="6">IF(H12="","--",SUM(I12:K12)/H12)</f>
        <v>0</v>
      </c>
      <c r="P12" s="147" t="s">
        <v>5617</v>
      </c>
      <c r="Q12" s="147" t="s">
        <v>3459</v>
      </c>
      <c r="R12" s="142" t="s">
        <v>2432</v>
      </c>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BA12" s="441">
        <f>IF(I12="","",IF(I12=0,0,1))</f>
        <v>0</v>
      </c>
    </row>
    <row r="13" spans="1:56" s="90" customFormat="1" ht="12" customHeight="1" x14ac:dyDescent="0.15">
      <c r="A13" s="142" t="s">
        <v>3333</v>
      </c>
      <c r="B13" s="142" t="s">
        <v>5006</v>
      </c>
      <c r="C13" s="142" t="s">
        <v>2236</v>
      </c>
      <c r="D13" s="142" t="s">
        <v>2237</v>
      </c>
      <c r="E13" s="142" t="s">
        <v>2238</v>
      </c>
      <c r="F13" s="143">
        <v>41304</v>
      </c>
      <c r="G13" s="144">
        <v>18367</v>
      </c>
      <c r="H13" s="145">
        <v>6</v>
      </c>
      <c r="I13" s="145">
        <v>0</v>
      </c>
      <c r="J13" s="145">
        <v>3</v>
      </c>
      <c r="K13" s="145">
        <v>1</v>
      </c>
      <c r="L13" s="146">
        <f>6105+3096+306+4740+2048+3845</f>
        <v>20140</v>
      </c>
      <c r="M13" s="146">
        <f t="shared" si="4"/>
        <v>3356.6666666666665</v>
      </c>
      <c r="N13" s="331">
        <f t="shared" si="5"/>
        <v>0</v>
      </c>
      <c r="O13" s="331">
        <f t="shared" si="6"/>
        <v>0.66666666666666663</v>
      </c>
      <c r="P13" s="147" t="s">
        <v>5738</v>
      </c>
      <c r="Q13" s="147" t="s">
        <v>1258</v>
      </c>
      <c r="R13" s="142" t="s">
        <v>5485</v>
      </c>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BA13" s="441">
        <f>IF(I13="","",IF(I13=0,0,1))</f>
        <v>0</v>
      </c>
    </row>
    <row r="14" spans="1:56" s="90" customFormat="1" ht="12" customHeight="1" x14ac:dyDescent="0.15">
      <c r="A14" s="142" t="s">
        <v>3355</v>
      </c>
      <c r="B14" s="142" t="s">
        <v>2213</v>
      </c>
      <c r="C14" s="142" t="s">
        <v>1408</v>
      </c>
      <c r="D14" s="142" t="s">
        <v>1027</v>
      </c>
      <c r="E14" s="142" t="s">
        <v>1335</v>
      </c>
      <c r="F14" s="143">
        <v>41397</v>
      </c>
      <c r="G14" s="144"/>
      <c r="H14" s="145">
        <v>1</v>
      </c>
      <c r="I14" s="145">
        <v>0</v>
      </c>
      <c r="J14" s="145">
        <v>0</v>
      </c>
      <c r="K14" s="145">
        <v>1</v>
      </c>
      <c r="L14" s="146">
        <v>4070</v>
      </c>
      <c r="M14" s="146">
        <f>IF(H14="","--",L14/H14)</f>
        <v>4070</v>
      </c>
      <c r="N14" s="331">
        <f>IF(H14="","--",I14/H14)</f>
        <v>0</v>
      </c>
      <c r="O14" s="331">
        <f>IF(H14="","--",SUM(I14:K14)/H14)</f>
        <v>1</v>
      </c>
      <c r="P14" s="147" t="s">
        <v>5637</v>
      </c>
      <c r="Q14" s="147" t="s">
        <v>1311</v>
      </c>
      <c r="R14" s="142" t="s">
        <v>2421</v>
      </c>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BA14" s="441">
        <f>IF(I14="","",IF(I14=0,0,1))</f>
        <v>0</v>
      </c>
    </row>
    <row r="15" spans="1:56" s="90" customFormat="1" ht="12" customHeight="1" x14ac:dyDescent="0.15">
      <c r="A15" s="142" t="s">
        <v>3645</v>
      </c>
      <c r="B15" s="142" t="s">
        <v>3734</v>
      </c>
      <c r="C15" s="142" t="s">
        <v>3519</v>
      </c>
      <c r="D15" s="142" t="s">
        <v>3520</v>
      </c>
      <c r="E15" s="142" t="s">
        <v>3521</v>
      </c>
      <c r="F15" s="143">
        <v>41350</v>
      </c>
      <c r="G15" s="144"/>
      <c r="H15" s="145">
        <v>7</v>
      </c>
      <c r="I15" s="145">
        <v>0</v>
      </c>
      <c r="J15" s="145">
        <v>1</v>
      </c>
      <c r="K15" s="145">
        <v>0</v>
      </c>
      <c r="L15" s="146">
        <f>200+200+200+200+200+200+2000</f>
        <v>3200</v>
      </c>
      <c r="M15" s="146">
        <f t="shared" si="4"/>
        <v>457.14285714285717</v>
      </c>
      <c r="N15" s="331">
        <f t="shared" si="5"/>
        <v>0</v>
      </c>
      <c r="O15" s="331">
        <f t="shared" si="6"/>
        <v>0.14285714285714285</v>
      </c>
      <c r="P15" s="147" t="s">
        <v>5672</v>
      </c>
      <c r="Q15" s="147"/>
      <c r="R15" s="142"/>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BA15" s="441"/>
    </row>
    <row r="16" spans="1:56" s="90" customFormat="1" ht="12" customHeight="1" x14ac:dyDescent="0.15">
      <c r="A16" s="142" t="s">
        <v>3158</v>
      </c>
      <c r="B16" s="142" t="s">
        <v>1400</v>
      </c>
      <c r="C16" s="142" t="s">
        <v>949</v>
      </c>
      <c r="D16" s="142" t="s">
        <v>459</v>
      </c>
      <c r="E16" s="142" t="s">
        <v>1335</v>
      </c>
      <c r="F16" s="143">
        <v>41417</v>
      </c>
      <c r="G16" s="144"/>
      <c r="H16" s="145">
        <v>3</v>
      </c>
      <c r="I16" s="145">
        <v>0</v>
      </c>
      <c r="J16" s="145">
        <v>0</v>
      </c>
      <c r="K16" s="145">
        <v>1</v>
      </c>
      <c r="L16" s="146">
        <f>200+4070+0</f>
        <v>4270</v>
      </c>
      <c r="M16" s="146">
        <f t="shared" si="4"/>
        <v>1423.3333333333333</v>
      </c>
      <c r="N16" s="331">
        <f t="shared" si="5"/>
        <v>0</v>
      </c>
      <c r="O16" s="331">
        <f t="shared" si="6"/>
        <v>0.33333333333333331</v>
      </c>
      <c r="P16" s="147" t="s">
        <v>5445</v>
      </c>
      <c r="Q16" s="147" t="s">
        <v>1311</v>
      </c>
      <c r="R16" s="142" t="s">
        <v>2421</v>
      </c>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BA16" s="441">
        <f>IF(I16="","",IF(I16=0,0,1))</f>
        <v>0</v>
      </c>
    </row>
    <row r="17" spans="1:56" s="90" customFormat="1" ht="12" customHeight="1" x14ac:dyDescent="0.15">
      <c r="A17" s="142" t="s">
        <v>3340</v>
      </c>
      <c r="B17" s="142" t="s">
        <v>1988</v>
      </c>
      <c r="C17" s="142" t="s">
        <v>1755</v>
      </c>
      <c r="D17" s="142" t="s">
        <v>1756</v>
      </c>
      <c r="E17" s="142" t="s">
        <v>1335</v>
      </c>
      <c r="F17" s="143">
        <v>41356</v>
      </c>
      <c r="G17" s="144"/>
      <c r="H17" s="145">
        <v>1</v>
      </c>
      <c r="I17" s="145">
        <v>0</v>
      </c>
      <c r="J17" s="145">
        <v>0</v>
      </c>
      <c r="K17" s="145">
        <v>0</v>
      </c>
      <c r="L17" s="146">
        <v>200</v>
      </c>
      <c r="M17" s="146">
        <f>IF(H17="","--",L17/H17)</f>
        <v>200</v>
      </c>
      <c r="N17" s="331">
        <f>IF(H17="","--",I17/H17)</f>
        <v>0</v>
      </c>
      <c r="O17" s="331">
        <f>IF(H17="","--",SUM(I17:K17)/H17)</f>
        <v>0</v>
      </c>
      <c r="P17" s="147" t="s">
        <v>5637</v>
      </c>
      <c r="Q17" s="147" t="s">
        <v>3459</v>
      </c>
      <c r="R17" s="142"/>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BA17" s="441">
        <f>IF(I17="","",IF(I17=0,0,1))</f>
        <v>0</v>
      </c>
    </row>
    <row r="18" spans="1:56" s="90" customFormat="1" ht="12" customHeight="1" x14ac:dyDescent="0.15">
      <c r="A18" s="142" t="s">
        <v>2475</v>
      </c>
      <c r="B18" s="142" t="s">
        <v>2196</v>
      </c>
      <c r="C18" s="142" t="s">
        <v>2243</v>
      </c>
      <c r="D18" s="142" t="s">
        <v>2253</v>
      </c>
      <c r="E18" s="142" t="s">
        <v>2265</v>
      </c>
      <c r="F18" s="143">
        <v>41327</v>
      </c>
      <c r="G18" s="144">
        <v>15000</v>
      </c>
      <c r="H18" s="145">
        <v>5</v>
      </c>
      <c r="I18" s="145">
        <v>0</v>
      </c>
      <c r="J18" s="145">
        <v>0</v>
      </c>
      <c r="K18" s="145">
        <v>0</v>
      </c>
      <c r="L18" s="146">
        <f>1620+1980+810+810+460</f>
        <v>5680</v>
      </c>
      <c r="M18" s="146">
        <f t="shared" si="4"/>
        <v>1136</v>
      </c>
      <c r="N18" s="331">
        <f t="shared" si="5"/>
        <v>0</v>
      </c>
      <c r="O18" s="331">
        <f t="shared" si="6"/>
        <v>0</v>
      </c>
      <c r="P18" s="147" t="s">
        <v>5633</v>
      </c>
      <c r="Q18" s="147"/>
      <c r="R18" s="142" t="s">
        <v>2433</v>
      </c>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BA18" s="441">
        <f>IF(I18="","",IF(I18=0,0,1))</f>
        <v>0</v>
      </c>
    </row>
    <row r="19" spans="1:56" s="90" customFormat="1" ht="12" customHeight="1" x14ac:dyDescent="0.15">
      <c r="A19" s="142" t="s">
        <v>3064</v>
      </c>
      <c r="B19" s="142" t="s">
        <v>29</v>
      </c>
      <c r="C19" s="142" t="s">
        <v>2489</v>
      </c>
      <c r="D19" s="142" t="s">
        <v>2490</v>
      </c>
      <c r="E19" s="142" t="s">
        <v>2511</v>
      </c>
      <c r="F19" s="143">
        <v>41317</v>
      </c>
      <c r="G19" s="144"/>
      <c r="H19" s="145">
        <v>10</v>
      </c>
      <c r="I19" s="145">
        <v>0</v>
      </c>
      <c r="J19" s="145">
        <v>1</v>
      </c>
      <c r="K19" s="145">
        <v>1</v>
      </c>
      <c r="L19" s="146">
        <f>1200+0+2400+4400+0+999+0+2800</f>
        <v>11799</v>
      </c>
      <c r="M19" s="146">
        <f t="shared" si="0"/>
        <v>1179.9000000000001</v>
      </c>
      <c r="N19" s="331">
        <f t="shared" si="1"/>
        <v>0</v>
      </c>
      <c r="O19" s="331">
        <f t="shared" si="2"/>
        <v>0.2</v>
      </c>
      <c r="P19" s="147" t="s">
        <v>5670</v>
      </c>
      <c r="Q19" s="147" t="s">
        <v>3693</v>
      </c>
      <c r="R19" s="142"/>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BA19" s="441">
        <f t="shared" ref="BA19" si="7">IF(I19="","",IF(I19=0,0,1))</f>
        <v>0</v>
      </c>
    </row>
    <row r="20" spans="1:56" s="90" customFormat="1" ht="12" customHeight="1" x14ac:dyDescent="0.15">
      <c r="A20" s="142" t="s">
        <v>3176</v>
      </c>
      <c r="B20" s="142" t="s">
        <v>2213</v>
      </c>
      <c r="C20" s="142" t="s">
        <v>2014</v>
      </c>
      <c r="D20" s="142" t="s">
        <v>787</v>
      </c>
      <c r="E20" s="142" t="s">
        <v>2224</v>
      </c>
      <c r="F20" s="143">
        <v>41376</v>
      </c>
      <c r="G20" s="144"/>
      <c r="H20" s="145">
        <v>3</v>
      </c>
      <c r="I20" s="145">
        <v>0</v>
      </c>
      <c r="J20" s="145">
        <v>0</v>
      </c>
      <c r="K20" s="145">
        <v>0</v>
      </c>
      <c r="L20" s="146">
        <f>0+999+0</f>
        <v>999</v>
      </c>
      <c r="M20" s="146">
        <f>IF(H20="","--",L20/H20)</f>
        <v>333</v>
      </c>
      <c r="N20" s="331">
        <f>IF(H20="","--",I20/H20)</f>
        <v>0</v>
      </c>
      <c r="O20" s="331">
        <f>IF(H20="","--",SUM(I20:K20)/H20)</f>
        <v>0</v>
      </c>
      <c r="P20" s="147" t="s">
        <v>5394</v>
      </c>
      <c r="Q20" s="147"/>
      <c r="R20" s="142" t="s">
        <v>2225</v>
      </c>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BA20" s="441">
        <f>IF(I20="","",IF(I20=0,0,1))</f>
        <v>0</v>
      </c>
    </row>
    <row r="21" spans="1:56" s="90" customFormat="1" ht="12" customHeight="1" x14ac:dyDescent="0.15">
      <c r="A21" s="142" t="s">
        <v>4391</v>
      </c>
      <c r="B21" s="142" t="s">
        <v>1910</v>
      </c>
      <c r="C21" s="142" t="s">
        <v>2239</v>
      </c>
      <c r="D21" s="142" t="s">
        <v>1088</v>
      </c>
      <c r="E21" s="142" t="s">
        <v>2259</v>
      </c>
      <c r="F21" s="143">
        <v>41384</v>
      </c>
      <c r="G21" s="144"/>
      <c r="H21" s="145">
        <v>2</v>
      </c>
      <c r="I21" s="145">
        <v>0</v>
      </c>
      <c r="J21" s="145">
        <v>0</v>
      </c>
      <c r="K21" s="145">
        <v>0</v>
      </c>
      <c r="L21" s="146">
        <f>500+180</f>
        <v>680</v>
      </c>
      <c r="M21" s="146">
        <f t="shared" ref="M21" si="8">IF(H21="","--",L21/H21)</f>
        <v>340</v>
      </c>
      <c r="N21" s="331">
        <f t="shared" ref="N21" si="9">IF(H21="","--",I21/H21)</f>
        <v>0</v>
      </c>
      <c r="O21" s="331">
        <f t="shared" ref="O21" si="10">IF(H21="","--",SUM(I21:K21)/H21)</f>
        <v>0</v>
      </c>
      <c r="P21" s="147" t="s">
        <v>5385</v>
      </c>
      <c r="Q21" s="147" t="s">
        <v>1835</v>
      </c>
      <c r="R21" s="142" t="s">
        <v>3194</v>
      </c>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BA21" s="441">
        <f t="shared" ref="BA21" si="11">IF(I21="","",IF(I21=0,0,1))</f>
        <v>0</v>
      </c>
    </row>
    <row r="22" spans="1:56" s="90" customFormat="1" ht="12" customHeight="1" x14ac:dyDescent="0.15">
      <c r="A22" s="51" t="s">
        <v>3430</v>
      </c>
      <c r="B22" s="51" t="s">
        <v>3418</v>
      </c>
      <c r="C22" s="51" t="s">
        <v>2060</v>
      </c>
      <c r="D22" s="51" t="s">
        <v>2008</v>
      </c>
      <c r="E22" s="51" t="s">
        <v>3432</v>
      </c>
      <c r="F22" s="85">
        <v>41367</v>
      </c>
      <c r="G22" s="86"/>
      <c r="H22" s="348"/>
      <c r="I22" s="348"/>
      <c r="J22" s="348"/>
      <c r="K22" s="348"/>
      <c r="L22" s="86" t="s">
        <v>18</v>
      </c>
      <c r="M22" s="333" t="str">
        <f t="shared" ref="M22" si="12">IF(H22="","--",L22/H22)</f>
        <v>--</v>
      </c>
      <c r="N22" s="333" t="str">
        <f t="shared" ref="N22" si="13">IF(H22="","--",I22/H22)</f>
        <v>--</v>
      </c>
      <c r="O22" s="333" t="str">
        <f t="shared" ref="O22" si="14">IF(H22="","--",SUM(I22:K22)/H22)</f>
        <v>--</v>
      </c>
      <c r="P22" s="349" t="s">
        <v>5461</v>
      </c>
      <c r="Q22" s="349" t="s">
        <v>4859</v>
      </c>
      <c r="R22" s="349" t="s">
        <v>3733</v>
      </c>
      <c r="S22" s="55"/>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13"/>
      <c r="BA22" s="441" t="str">
        <f t="shared" ref="BA22" si="15">IF(I22="","",IF(I22=0,0,1))</f>
        <v/>
      </c>
    </row>
    <row r="23" spans="1:56" s="90" customFormat="1" ht="12" customHeight="1" x14ac:dyDescent="0.15">
      <c r="A23" s="51" t="s">
        <v>3179</v>
      </c>
      <c r="B23" s="51" t="s">
        <v>28</v>
      </c>
      <c r="C23" s="51" t="s">
        <v>2207</v>
      </c>
      <c r="D23" s="51" t="s">
        <v>2208</v>
      </c>
      <c r="E23" s="51" t="s">
        <v>2209</v>
      </c>
      <c r="F23" s="85">
        <v>41392</v>
      </c>
      <c r="G23" s="86"/>
      <c r="H23" s="87"/>
      <c r="I23" s="87"/>
      <c r="J23" s="87"/>
      <c r="K23" s="87"/>
      <c r="L23" s="86"/>
      <c r="M23" s="333" t="str">
        <f>IF(H23="","--",L23/H23)</f>
        <v>--</v>
      </c>
      <c r="N23" s="333" t="str">
        <f>IF(H23="","--",I23/H23)</f>
        <v>--</v>
      </c>
      <c r="O23" s="333" t="str">
        <f>IF(H23="","--",SUM(I23:K23)/H23)</f>
        <v>--</v>
      </c>
      <c r="P23" s="349" t="s">
        <v>5534</v>
      </c>
      <c r="Q23" s="89"/>
      <c r="R23" s="89"/>
      <c r="S23" s="55"/>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13"/>
      <c r="BA23" s="441" t="str">
        <f>IF(I23="","",IF(I23=0,0,1))</f>
        <v/>
      </c>
    </row>
    <row r="24" spans="1:56" s="90" customFormat="1" ht="12" customHeight="1" x14ac:dyDescent="0.15">
      <c r="A24" s="51" t="s">
        <v>3177</v>
      </c>
      <c r="B24" s="51" t="s">
        <v>1988</v>
      </c>
      <c r="C24" s="51" t="s">
        <v>1803</v>
      </c>
      <c r="D24" s="51" t="s">
        <v>1804</v>
      </c>
      <c r="E24" s="51" t="s">
        <v>1805</v>
      </c>
      <c r="F24" s="85">
        <v>41407</v>
      </c>
      <c r="G24" s="86"/>
      <c r="H24" s="87"/>
      <c r="I24" s="87"/>
      <c r="J24" s="87"/>
      <c r="K24" s="87"/>
      <c r="L24" s="86" t="s">
        <v>18</v>
      </c>
      <c r="M24" s="333" t="str">
        <f>IF(H24="","--",L24/H24)</f>
        <v>--</v>
      </c>
      <c r="N24" s="333" t="str">
        <f>IF(H24="","--",I24/H24)</f>
        <v>--</v>
      </c>
      <c r="O24" s="333" t="str">
        <f>IF(H24="","--",SUM(I24:K24)/H24)</f>
        <v>--</v>
      </c>
      <c r="P24" s="349" t="s">
        <v>5698</v>
      </c>
      <c r="Q24" s="89"/>
      <c r="R24" s="89"/>
      <c r="S24" s="55"/>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13"/>
      <c r="BA24" s="441" t="str">
        <f>IF(I24="","",IF(I24=0,0,1))</f>
        <v/>
      </c>
    </row>
    <row r="25" spans="1:56" s="90" customFormat="1" ht="12" customHeight="1" x14ac:dyDescent="0.15">
      <c r="A25" s="352"/>
      <c r="B25" s="51" t="s">
        <v>4443</v>
      </c>
      <c r="C25" s="51" t="s">
        <v>2242</v>
      </c>
      <c r="D25" s="51" t="s">
        <v>2252</v>
      </c>
      <c r="E25" s="51" t="s">
        <v>2264</v>
      </c>
      <c r="F25" s="85">
        <v>41397</v>
      </c>
      <c r="G25" s="86"/>
      <c r="H25" s="87"/>
      <c r="I25" s="87"/>
      <c r="J25" s="87"/>
      <c r="K25" s="87"/>
      <c r="L25" s="86"/>
      <c r="M25" s="333" t="str">
        <f>IF(H25="","--",L25/H25)</f>
        <v>--</v>
      </c>
      <c r="N25" s="333" t="str">
        <f>IF(H25="","--",I25/H25)</f>
        <v>--</v>
      </c>
      <c r="O25" s="333" t="str">
        <f>IF(H25="","--",SUM(I25:K25)/H25)</f>
        <v>--</v>
      </c>
      <c r="P25" s="349" t="s">
        <v>5660</v>
      </c>
      <c r="Q25" s="89"/>
      <c r="R25" s="89"/>
      <c r="S25" s="55"/>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13"/>
      <c r="BA25" s="441" t="str">
        <f>IF(I25="","",IF(I25=0,0,1))</f>
        <v/>
      </c>
    </row>
    <row r="26" spans="1:56" ht="12" customHeight="1" x14ac:dyDescent="0.15">
      <c r="M26" s="119"/>
      <c r="N26" s="64"/>
      <c r="O26" s="64"/>
      <c r="S26" s="13"/>
      <c r="T26" s="13"/>
      <c r="BA26" s="141" t="str">
        <f t="shared" ref="BA26:BA30" si="16">IF(I26="","",IF(I26=0,0,1))</f>
        <v/>
      </c>
    </row>
    <row r="27" spans="1:56" ht="12" customHeight="1" x14ac:dyDescent="0.15">
      <c r="A27" s="110" t="s">
        <v>417</v>
      </c>
      <c r="G27" s="96"/>
      <c r="H27" s="103"/>
      <c r="I27" s="103"/>
      <c r="J27" s="103"/>
      <c r="K27" s="103"/>
      <c r="L27" s="96"/>
      <c r="M27" s="119"/>
      <c r="N27" s="64"/>
      <c r="O27" s="64"/>
      <c r="P27" s="149"/>
      <c r="Q27" s="149"/>
      <c r="S27" s="13"/>
      <c r="T27" s="13"/>
      <c r="BA27" s="141" t="str">
        <f t="shared" si="16"/>
        <v/>
      </c>
    </row>
    <row r="28" spans="1:56" s="140" customFormat="1" ht="12" customHeight="1" x14ac:dyDescent="0.15">
      <c r="A28" s="58" t="s">
        <v>3487</v>
      </c>
      <c r="B28" s="58" t="s">
        <v>3304</v>
      </c>
      <c r="C28" s="58" t="s">
        <v>1889</v>
      </c>
      <c r="D28" s="58" t="s">
        <v>1890</v>
      </c>
      <c r="E28" s="58" t="s">
        <v>3305</v>
      </c>
      <c r="F28" s="137">
        <v>41323</v>
      </c>
      <c r="G28" s="138"/>
      <c r="H28" s="139">
        <v>5</v>
      </c>
      <c r="I28" s="139">
        <v>4</v>
      </c>
      <c r="J28" s="139">
        <v>0</v>
      </c>
      <c r="K28" s="139">
        <v>1</v>
      </c>
      <c r="L28" s="191">
        <f>18311+4410+19450+28458+28361</f>
        <v>98990</v>
      </c>
      <c r="M28" s="191">
        <f>IF(H28="","--",L28/H28)</f>
        <v>19798</v>
      </c>
      <c r="N28" s="330">
        <f>IF(H28="","--",I28/H28)</f>
        <v>0.8</v>
      </c>
      <c r="O28" s="330">
        <f>IF(H28="","--",SUM(I28:K28)/H28)</f>
        <v>1</v>
      </c>
      <c r="P28" s="56" t="s">
        <v>5690</v>
      </c>
      <c r="Q28" s="56" t="s">
        <v>1561</v>
      </c>
      <c r="R28" s="58" t="s">
        <v>4191</v>
      </c>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BA28" s="441">
        <f t="shared" si="16"/>
        <v>1</v>
      </c>
      <c r="BD28" s="141"/>
    </row>
    <row r="29" spans="1:56" s="90" customFormat="1" ht="12" customHeight="1" x14ac:dyDescent="0.15">
      <c r="A29" s="129"/>
      <c r="B29" s="51"/>
      <c r="C29" s="51"/>
      <c r="D29" s="51"/>
      <c r="E29" s="51"/>
      <c r="F29" s="85"/>
      <c r="G29" s="86"/>
      <c r="H29" s="103"/>
      <c r="I29" s="103"/>
      <c r="J29" s="103"/>
      <c r="K29" s="103"/>
      <c r="L29" s="96"/>
      <c r="M29" s="119"/>
      <c r="N29" s="64"/>
      <c r="O29" s="64"/>
      <c r="P29" s="149"/>
      <c r="Q29" s="349"/>
      <c r="R29" s="349"/>
      <c r="S29" s="55"/>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13"/>
      <c r="BA29" s="441" t="str">
        <f t="shared" si="16"/>
        <v/>
      </c>
    </row>
    <row r="30" spans="1:56" ht="12" customHeight="1" x14ac:dyDescent="0.15">
      <c r="A30" s="110" t="s">
        <v>1699</v>
      </c>
      <c r="G30" s="96"/>
      <c r="H30" s="103"/>
      <c r="I30" s="103"/>
      <c r="J30" s="103"/>
      <c r="K30" s="103"/>
      <c r="L30" s="100"/>
      <c r="M30" s="100"/>
      <c r="N30" s="334"/>
      <c r="O30" s="334"/>
      <c r="P30" s="149"/>
      <c r="Q30" s="149"/>
      <c r="S30" s="13"/>
      <c r="T30" s="13"/>
      <c r="BA30" s="441" t="str">
        <f t="shared" si="16"/>
        <v/>
      </c>
    </row>
    <row r="31" spans="1:56" s="90" customFormat="1" ht="12" customHeight="1" x14ac:dyDescent="0.15">
      <c r="A31" s="51" t="s">
        <v>3181</v>
      </c>
      <c r="B31" s="51" t="s">
        <v>1769</v>
      </c>
      <c r="C31" s="51" t="s">
        <v>1856</v>
      </c>
      <c r="D31" s="51" t="s">
        <v>1857</v>
      </c>
      <c r="E31" s="51" t="s">
        <v>1858</v>
      </c>
      <c r="F31" s="85">
        <v>41388</v>
      </c>
      <c r="G31" s="86"/>
      <c r="H31" s="87"/>
      <c r="I31" s="87"/>
      <c r="J31" s="87"/>
      <c r="K31" s="87"/>
      <c r="L31" s="86"/>
      <c r="M31" s="333" t="str">
        <f t="shared" ref="M31" si="17">IF(H31="","--",L31/H31)</f>
        <v>--</v>
      </c>
      <c r="N31" s="333" t="str">
        <f t="shared" ref="N31" si="18">IF(H31="","--",I31/H31)</f>
        <v>--</v>
      </c>
      <c r="O31" s="333" t="str">
        <f t="shared" ref="O31" si="19">IF(H31="","--",SUM(I31:K31)/H31)</f>
        <v>--</v>
      </c>
      <c r="P31" s="349" t="s">
        <v>4749</v>
      </c>
      <c r="Q31" s="89" t="s">
        <v>141</v>
      </c>
      <c r="R31" s="89"/>
      <c r="S31" s="55"/>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13"/>
      <c r="BA31" s="441" t="str">
        <f t="shared" ref="BA31:BA37" si="20">IF(I31="","",IF(I31=0,0,1))</f>
        <v/>
      </c>
    </row>
    <row r="32" spans="1:56" s="90" customFormat="1" ht="12" customHeight="1" x14ac:dyDescent="0.15">
      <c r="A32" s="51" t="s">
        <v>3175</v>
      </c>
      <c r="B32" s="51" t="s">
        <v>384</v>
      </c>
      <c r="C32" s="51" t="s">
        <v>2205</v>
      </c>
      <c r="D32" s="51" t="s">
        <v>2206</v>
      </c>
      <c r="E32" s="51" t="s">
        <v>2204</v>
      </c>
      <c r="F32" s="85">
        <v>41369</v>
      </c>
      <c r="G32" s="86"/>
      <c r="H32" s="87"/>
      <c r="I32" s="87"/>
      <c r="J32" s="87"/>
      <c r="K32" s="87"/>
      <c r="L32" s="86" t="s">
        <v>18</v>
      </c>
      <c r="M32" s="333" t="str">
        <f t="shared" ref="M32:M39" si="21">IF(H32="","--",L32/H32)</f>
        <v>--</v>
      </c>
      <c r="N32" s="333" t="str">
        <f t="shared" ref="N32:N39" si="22">IF(H32="","--",I32/H32)</f>
        <v>--</v>
      </c>
      <c r="O32" s="333" t="str">
        <f t="shared" ref="O32:O39" si="23">IF(H32="","--",SUM(I32:K32)/H32)</f>
        <v>--</v>
      </c>
      <c r="P32" s="349" t="s">
        <v>4762</v>
      </c>
      <c r="Q32" s="89"/>
      <c r="R32" s="89"/>
      <c r="S32" s="55"/>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13"/>
      <c r="BA32" s="441" t="str">
        <f t="shared" si="20"/>
        <v/>
      </c>
    </row>
    <row r="33" spans="1:56" s="140" customFormat="1" ht="12" customHeight="1" x14ac:dyDescent="0.15">
      <c r="A33" s="58" t="s">
        <v>2467</v>
      </c>
      <c r="B33" s="58" t="s">
        <v>23</v>
      </c>
      <c r="C33" s="58" t="s">
        <v>2247</v>
      </c>
      <c r="D33" s="58" t="s">
        <v>2256</v>
      </c>
      <c r="E33" s="58" t="s">
        <v>2270</v>
      </c>
      <c r="F33" s="137">
        <v>41349</v>
      </c>
      <c r="G33" s="138"/>
      <c r="H33" s="139">
        <v>6</v>
      </c>
      <c r="I33" s="139">
        <v>1</v>
      </c>
      <c r="J33" s="139">
        <v>0</v>
      </c>
      <c r="K33" s="139">
        <v>2</v>
      </c>
      <c r="L33" s="191">
        <f>3100+4100+550+24600+1500+2750</f>
        <v>36600</v>
      </c>
      <c r="M33" s="191">
        <f t="shared" si="21"/>
        <v>6100</v>
      </c>
      <c r="N33" s="330">
        <f t="shared" si="22"/>
        <v>0.16666666666666666</v>
      </c>
      <c r="O33" s="330">
        <f t="shared" si="23"/>
        <v>0.5</v>
      </c>
      <c r="P33" s="56" t="s">
        <v>4847</v>
      </c>
      <c r="Q33" s="56" t="s">
        <v>1987</v>
      </c>
      <c r="R33" s="58"/>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BA33" s="441">
        <f t="shared" si="20"/>
        <v>1</v>
      </c>
      <c r="BD33" s="141"/>
    </row>
    <row r="34" spans="1:56" s="140" customFormat="1" ht="12" customHeight="1" x14ac:dyDescent="0.15">
      <c r="A34" s="58" t="s">
        <v>3263</v>
      </c>
      <c r="B34" s="58" t="s">
        <v>3467</v>
      </c>
      <c r="C34" s="58" t="s">
        <v>3069</v>
      </c>
      <c r="D34" s="58" t="s">
        <v>3070</v>
      </c>
      <c r="E34" s="58" t="s">
        <v>3071</v>
      </c>
      <c r="F34" s="137">
        <v>41354</v>
      </c>
      <c r="G34" s="138"/>
      <c r="H34" s="139">
        <v>10</v>
      </c>
      <c r="I34" s="139">
        <v>3</v>
      </c>
      <c r="J34" s="139">
        <v>2</v>
      </c>
      <c r="K34" s="139">
        <v>0</v>
      </c>
      <c r="L34" s="191">
        <f>0+1230+540+4940+14820+14580+14700+10240+711+810</f>
        <v>62571</v>
      </c>
      <c r="M34" s="191">
        <f t="shared" si="21"/>
        <v>6257.1</v>
      </c>
      <c r="N34" s="330">
        <f t="shared" si="22"/>
        <v>0.3</v>
      </c>
      <c r="O34" s="330">
        <f t="shared" si="23"/>
        <v>0.5</v>
      </c>
      <c r="P34" s="56" t="s">
        <v>5040</v>
      </c>
      <c r="Q34" s="56" t="s">
        <v>1893</v>
      </c>
      <c r="R34" s="58" t="s">
        <v>5543</v>
      </c>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BA34" s="441">
        <f>IF(I34="","",IF(I34=0,0,1))</f>
        <v>1</v>
      </c>
      <c r="BD34" s="141"/>
    </row>
    <row r="35" spans="1:56" s="90" customFormat="1" ht="12" customHeight="1" x14ac:dyDescent="0.15">
      <c r="A35" s="142" t="s">
        <v>3203</v>
      </c>
      <c r="B35" s="142" t="s">
        <v>5007</v>
      </c>
      <c r="C35" s="142" t="s">
        <v>2028</v>
      </c>
      <c r="D35" s="142" t="s">
        <v>2025</v>
      </c>
      <c r="E35" s="142" t="s">
        <v>2029</v>
      </c>
      <c r="F35" s="143">
        <v>41322</v>
      </c>
      <c r="G35" s="144">
        <v>22870</v>
      </c>
      <c r="H35" s="145">
        <v>2</v>
      </c>
      <c r="I35" s="145">
        <v>0</v>
      </c>
      <c r="J35" s="145">
        <v>0</v>
      </c>
      <c r="K35" s="145">
        <v>0</v>
      </c>
      <c r="L35" s="146">
        <f>3070+1552</f>
        <v>4622</v>
      </c>
      <c r="M35" s="146">
        <f t="shared" si="21"/>
        <v>2311</v>
      </c>
      <c r="N35" s="331">
        <f t="shared" si="22"/>
        <v>0</v>
      </c>
      <c r="O35" s="331">
        <f t="shared" si="23"/>
        <v>0</v>
      </c>
      <c r="P35" s="147" t="s">
        <v>5043</v>
      </c>
      <c r="Q35" s="147" t="s">
        <v>4859</v>
      </c>
      <c r="R35" s="142" t="s">
        <v>3159</v>
      </c>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BA35" s="441">
        <f>IF(I35="","",IF(I35=0,0,1))</f>
        <v>0</v>
      </c>
    </row>
    <row r="36" spans="1:56" s="140" customFormat="1" ht="12" customHeight="1" x14ac:dyDescent="0.15">
      <c r="A36" s="58" t="s">
        <v>3182</v>
      </c>
      <c r="B36" s="58" t="s">
        <v>28</v>
      </c>
      <c r="C36" s="58" t="s">
        <v>1470</v>
      </c>
      <c r="D36" s="58" t="s">
        <v>1471</v>
      </c>
      <c r="E36" s="58" t="s">
        <v>2013</v>
      </c>
      <c r="F36" s="137">
        <v>41321</v>
      </c>
      <c r="G36" s="138"/>
      <c r="H36" s="139">
        <v>3</v>
      </c>
      <c r="I36" s="139">
        <v>1</v>
      </c>
      <c r="J36" s="139">
        <v>0</v>
      </c>
      <c r="K36" s="139">
        <v>0</v>
      </c>
      <c r="L36" s="191">
        <f>7400+22200</f>
        <v>29600</v>
      </c>
      <c r="M36" s="191">
        <f t="shared" si="21"/>
        <v>9866.6666666666661</v>
      </c>
      <c r="N36" s="330">
        <f t="shared" si="22"/>
        <v>0.33333333333333331</v>
      </c>
      <c r="O36" s="330">
        <f t="shared" si="23"/>
        <v>0.33333333333333331</v>
      </c>
      <c r="P36" s="56" t="s">
        <v>5052</v>
      </c>
      <c r="Q36" s="56" t="s">
        <v>1311</v>
      </c>
      <c r="R36" s="58" t="s">
        <v>3464</v>
      </c>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BA36" s="441">
        <f>IF(I36="","",IF(I36=0,0,1))</f>
        <v>1</v>
      </c>
      <c r="BD36" s="141"/>
    </row>
    <row r="37" spans="1:56" s="90" customFormat="1" ht="12" customHeight="1" x14ac:dyDescent="0.15">
      <c r="A37" s="51" t="s">
        <v>5055</v>
      </c>
      <c r="B37" s="51" t="s">
        <v>2196</v>
      </c>
      <c r="C37" s="51" t="s">
        <v>1900</v>
      </c>
      <c r="D37" s="51" t="s">
        <v>427</v>
      </c>
      <c r="E37" s="51" t="s">
        <v>2116</v>
      </c>
      <c r="F37" s="85">
        <v>41370</v>
      </c>
      <c r="G37" s="86">
        <v>36000</v>
      </c>
      <c r="H37" s="87"/>
      <c r="I37" s="87"/>
      <c r="J37" s="87"/>
      <c r="K37" s="87"/>
      <c r="L37" s="86"/>
      <c r="M37" s="333" t="str">
        <f t="shared" si="21"/>
        <v>--</v>
      </c>
      <c r="N37" s="333" t="str">
        <f t="shared" si="22"/>
        <v>--</v>
      </c>
      <c r="O37" s="333" t="str">
        <f t="shared" si="23"/>
        <v>--</v>
      </c>
      <c r="P37" s="349" t="s">
        <v>5057</v>
      </c>
      <c r="Q37" s="89"/>
      <c r="R37" s="89" t="s">
        <v>2434</v>
      </c>
      <c r="S37" s="55"/>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13"/>
      <c r="BA37" s="441" t="str">
        <f t="shared" si="20"/>
        <v/>
      </c>
    </row>
    <row r="38" spans="1:56" s="140" customFormat="1" ht="12" customHeight="1" x14ac:dyDescent="0.15">
      <c r="A38" s="58" t="s">
        <v>3154</v>
      </c>
      <c r="B38" s="58" t="s">
        <v>3077</v>
      </c>
      <c r="C38" s="58" t="s">
        <v>1240</v>
      </c>
      <c r="D38" s="58" t="s">
        <v>1271</v>
      </c>
      <c r="E38" s="58" t="s">
        <v>1335</v>
      </c>
      <c r="F38" s="137">
        <v>41401</v>
      </c>
      <c r="G38" s="138"/>
      <c r="H38" s="139">
        <v>5</v>
      </c>
      <c r="I38" s="139">
        <v>3</v>
      </c>
      <c r="J38" s="139">
        <v>1</v>
      </c>
      <c r="K38" s="139">
        <v>0</v>
      </c>
      <c r="L38" s="191">
        <v>119100</v>
      </c>
      <c r="M38" s="191">
        <f t="shared" si="21"/>
        <v>23820</v>
      </c>
      <c r="N38" s="330">
        <f t="shared" si="22"/>
        <v>0.6</v>
      </c>
      <c r="O38" s="330">
        <f t="shared" si="23"/>
        <v>0.8</v>
      </c>
      <c r="P38" s="56" t="s">
        <v>5215</v>
      </c>
      <c r="Q38" s="56" t="s">
        <v>1311</v>
      </c>
      <c r="R38" s="58" t="s">
        <v>4200</v>
      </c>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BA38" s="441">
        <f>IF(I38="","",IF(I38=0,0,1))</f>
        <v>1</v>
      </c>
      <c r="BD38" s="141"/>
    </row>
    <row r="39" spans="1:56" s="90" customFormat="1" ht="12" customHeight="1" x14ac:dyDescent="0.15">
      <c r="A39" s="51" t="s">
        <v>2316</v>
      </c>
      <c r="B39" s="51" t="s">
        <v>3074</v>
      </c>
      <c r="C39" s="51" t="s">
        <v>2241</v>
      </c>
      <c r="D39" s="51" t="s">
        <v>898</v>
      </c>
      <c r="E39" s="51" t="s">
        <v>2262</v>
      </c>
      <c r="F39" s="85">
        <v>41374</v>
      </c>
      <c r="G39" s="86"/>
      <c r="H39" s="87"/>
      <c r="I39" s="87"/>
      <c r="J39" s="87"/>
      <c r="K39" s="87"/>
      <c r="L39" s="86"/>
      <c r="M39" s="333" t="str">
        <f t="shared" si="21"/>
        <v>--</v>
      </c>
      <c r="N39" s="333" t="str">
        <f t="shared" si="22"/>
        <v>--</v>
      </c>
      <c r="O39" s="333" t="str">
        <f t="shared" si="23"/>
        <v>--</v>
      </c>
      <c r="P39" s="349" t="s">
        <v>5292</v>
      </c>
      <c r="Q39" s="349"/>
      <c r="R39" s="89"/>
      <c r="S39" s="55"/>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13"/>
      <c r="BA39" s="441" t="str">
        <f>IF(I39="","",IF(I39=0,0,1))</f>
        <v/>
      </c>
    </row>
    <row r="40" spans="1:56" s="90" customFormat="1" ht="12" customHeight="1" x14ac:dyDescent="0.15">
      <c r="A40" s="142" t="s">
        <v>3899</v>
      </c>
      <c r="B40" s="142" t="s">
        <v>1895</v>
      </c>
      <c r="C40" s="142" t="s">
        <v>2210</v>
      </c>
      <c r="D40" s="142" t="s">
        <v>1857</v>
      </c>
      <c r="E40" s="142" t="s">
        <v>2211</v>
      </c>
      <c r="F40" s="143">
        <v>41361</v>
      </c>
      <c r="G40" s="144">
        <v>7000</v>
      </c>
      <c r="H40" s="145">
        <v>5</v>
      </c>
      <c r="I40" s="145">
        <v>0</v>
      </c>
      <c r="J40" s="145">
        <v>1</v>
      </c>
      <c r="K40" s="145">
        <v>1</v>
      </c>
      <c r="L40" s="146">
        <f>260+4620+1800+2200+240</f>
        <v>9120</v>
      </c>
      <c r="M40" s="146">
        <f>IF(H40="","--",L40/H40)</f>
        <v>1824</v>
      </c>
      <c r="N40" s="331">
        <f>IF(H40="","--",I40/H40)</f>
        <v>0</v>
      </c>
      <c r="O40" s="331">
        <f>IF(H40="","--",SUM(I40:K40)/H40)</f>
        <v>0.4</v>
      </c>
      <c r="P40" s="147" t="s">
        <v>5181</v>
      </c>
      <c r="Q40" s="147" t="s">
        <v>12</v>
      </c>
      <c r="R40" s="142" t="s">
        <v>2417</v>
      </c>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BA40" s="441">
        <f>IF(I40="","",IF(I40=0,0,1))</f>
        <v>0</v>
      </c>
    </row>
    <row r="41" spans="1:56" s="90" customFormat="1" ht="12" customHeight="1" x14ac:dyDescent="0.15">
      <c r="A41" s="129"/>
      <c r="B41" s="51"/>
      <c r="C41" s="51"/>
      <c r="D41" s="51"/>
      <c r="E41" s="51"/>
      <c r="F41" s="85"/>
      <c r="G41" s="86"/>
      <c r="H41" s="348"/>
      <c r="I41" s="348"/>
      <c r="J41" s="348"/>
      <c r="K41" s="348"/>
      <c r="L41" s="86"/>
      <c r="M41" s="119"/>
      <c r="N41" s="333"/>
      <c r="O41" s="333"/>
      <c r="P41" s="349"/>
      <c r="Q41" s="349"/>
      <c r="R41" s="349"/>
      <c r="S41" s="55"/>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13"/>
      <c r="BA41" s="441" t="str">
        <f t="shared" ref="BA41:BA42" si="24">IF(I41="","",IF(I41=0,0,1))</f>
        <v/>
      </c>
    </row>
    <row r="42" spans="1:56" ht="12" customHeight="1" x14ac:dyDescent="0.15">
      <c r="A42" s="110" t="s">
        <v>1698</v>
      </c>
      <c r="G42" s="96"/>
      <c r="H42" s="103"/>
      <c r="I42" s="103"/>
      <c r="J42" s="103"/>
      <c r="K42" s="103"/>
      <c r="L42" s="100"/>
      <c r="M42" s="100"/>
      <c r="N42" s="334"/>
      <c r="O42" s="334"/>
      <c r="P42" s="149"/>
      <c r="Q42" s="149"/>
      <c r="S42" s="13"/>
      <c r="T42" s="13"/>
      <c r="BA42" s="441" t="str">
        <f t="shared" si="24"/>
        <v/>
      </c>
    </row>
    <row r="43" spans="1:56" s="90" customFormat="1" ht="12" customHeight="1" x14ac:dyDescent="0.15">
      <c r="A43" s="51"/>
      <c r="B43" s="51"/>
      <c r="C43" s="51"/>
      <c r="D43" s="51"/>
      <c r="E43" s="51"/>
      <c r="F43" s="85"/>
      <c r="G43" s="86"/>
      <c r="H43" s="348"/>
      <c r="I43" s="348"/>
      <c r="J43" s="348"/>
      <c r="K43" s="348"/>
      <c r="L43" s="86"/>
      <c r="M43" s="86"/>
      <c r="N43" s="86"/>
      <c r="O43" s="86"/>
      <c r="P43" s="349"/>
      <c r="Q43" s="349"/>
      <c r="R43" s="349"/>
      <c r="S43" s="55"/>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13"/>
      <c r="BA43" s="441" t="str">
        <f t="shared" ref="BA43:BA50" si="25">IF(I43="","",IF(I43=0,0,1))</f>
        <v/>
      </c>
    </row>
    <row r="44" spans="1:56" ht="12" customHeight="1" x14ac:dyDescent="0.15">
      <c r="A44" s="110" t="s">
        <v>1696</v>
      </c>
      <c r="G44" s="96"/>
      <c r="H44" s="103"/>
      <c r="I44" s="103"/>
      <c r="J44" s="103"/>
      <c r="K44" s="103"/>
      <c r="L44" s="100"/>
      <c r="M44" s="100"/>
      <c r="N44" s="334"/>
      <c r="O44" s="334"/>
      <c r="P44" s="149"/>
      <c r="Q44" s="149"/>
      <c r="S44" s="13"/>
      <c r="T44" s="13"/>
      <c r="BA44" s="441" t="str">
        <f t="shared" si="25"/>
        <v/>
      </c>
    </row>
    <row r="45" spans="1:56" s="90" customFormat="1" ht="12" customHeight="1" x14ac:dyDescent="0.15">
      <c r="A45" s="51" t="s">
        <v>3198</v>
      </c>
      <c r="B45" s="51" t="s">
        <v>3157</v>
      </c>
      <c r="C45" s="51" t="s">
        <v>2258</v>
      </c>
      <c r="D45" s="51" t="s">
        <v>898</v>
      </c>
      <c r="E45" s="51" t="s">
        <v>2269</v>
      </c>
      <c r="F45" s="85">
        <v>41332</v>
      </c>
      <c r="G45" s="86"/>
      <c r="H45" s="87"/>
      <c r="I45" s="87"/>
      <c r="J45" s="87"/>
      <c r="K45" s="87"/>
      <c r="L45" s="86"/>
      <c r="M45" s="333" t="str">
        <f>IF(H45="","--",L45/H45)</f>
        <v>--</v>
      </c>
      <c r="N45" s="333" t="str">
        <f>IF(H45="","--",I45/H45)</f>
        <v>--</v>
      </c>
      <c r="O45" s="333" t="str">
        <f>IF(H45="","--",SUM(I45:K45)/H45)</f>
        <v>--</v>
      </c>
      <c r="P45" s="349" t="s">
        <v>3445</v>
      </c>
      <c r="Q45" s="89" t="s">
        <v>1893</v>
      </c>
      <c r="R45" s="89"/>
      <c r="S45" s="55"/>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13"/>
      <c r="BA45" s="441" t="str">
        <f>IF(I45="","",IF(I45=0,0,1))</f>
        <v/>
      </c>
    </row>
    <row r="46" spans="1:56" s="90" customFormat="1" ht="12" customHeight="1" x14ac:dyDescent="0.15">
      <c r="A46" s="51"/>
      <c r="B46" s="51"/>
      <c r="C46" s="51"/>
      <c r="D46" s="51"/>
      <c r="E46" s="51"/>
      <c r="F46" s="85"/>
      <c r="G46" s="86"/>
      <c r="H46" s="348"/>
      <c r="I46" s="348"/>
      <c r="J46" s="348"/>
      <c r="K46" s="348"/>
      <c r="L46" s="119"/>
      <c r="M46" s="119"/>
      <c r="N46" s="54"/>
      <c r="O46" s="54"/>
      <c r="P46" s="349"/>
      <c r="Q46" s="349"/>
      <c r="R46" s="51"/>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13"/>
      <c r="BA46" s="141" t="str">
        <f>IF(I46="","",IF(I46=0,0,1))</f>
        <v/>
      </c>
    </row>
    <row r="47" spans="1:56" ht="12" customHeight="1" x14ac:dyDescent="0.15">
      <c r="A47" s="110" t="s">
        <v>1697</v>
      </c>
      <c r="G47" s="96"/>
      <c r="H47" s="103"/>
      <c r="I47" s="103"/>
      <c r="J47" s="103"/>
      <c r="K47" s="103"/>
      <c r="L47" s="100"/>
      <c r="M47" s="100"/>
      <c r="N47" s="100"/>
      <c r="O47" s="100"/>
      <c r="P47" s="149"/>
      <c r="Q47" s="149"/>
      <c r="S47" s="13"/>
      <c r="T47" s="13"/>
      <c r="BA47" s="141" t="str">
        <f>IF(I47="","",IF(I47=0,0,1))</f>
        <v/>
      </c>
    </row>
    <row r="48" spans="1:56" s="90" customFormat="1" ht="12" customHeight="1" x14ac:dyDescent="0.15">
      <c r="A48" s="51"/>
      <c r="B48" s="51"/>
      <c r="C48" s="51"/>
      <c r="D48" s="51"/>
      <c r="E48" s="51"/>
      <c r="F48" s="85"/>
      <c r="G48" s="86"/>
      <c r="H48" s="348"/>
      <c r="I48" s="348"/>
      <c r="J48" s="348"/>
      <c r="K48" s="348"/>
      <c r="L48" s="86"/>
      <c r="M48" s="119"/>
      <c r="N48" s="119"/>
      <c r="O48" s="119"/>
      <c r="P48" s="511"/>
      <c r="Q48" s="54"/>
      <c r="R48" s="349"/>
      <c r="S48" s="349"/>
      <c r="T48" s="51"/>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13"/>
      <c r="BA48" s="441" t="str">
        <f t="shared" si="25"/>
        <v/>
      </c>
      <c r="BC48" s="441" t="str">
        <f>IF(I48="","",IF(I48=0,0,1))</f>
        <v/>
      </c>
    </row>
    <row r="49" spans="1:55" ht="12" customHeight="1" x14ac:dyDescent="0.15">
      <c r="A49" s="110" t="s">
        <v>1789</v>
      </c>
      <c r="G49" s="96"/>
      <c r="H49" s="103"/>
      <c r="I49" s="103"/>
      <c r="J49" s="103"/>
      <c r="K49" s="103"/>
      <c r="L49" s="100"/>
      <c r="M49" s="119"/>
      <c r="N49" s="120"/>
      <c r="O49" s="120"/>
      <c r="P49" s="512"/>
      <c r="Q49" s="64"/>
      <c r="R49" s="149"/>
      <c r="S49" s="149"/>
      <c r="T49" s="6"/>
      <c r="BA49" s="441" t="str">
        <f t="shared" si="25"/>
        <v/>
      </c>
      <c r="BC49" s="441" t="str">
        <f>IF(I49="","",IF(I49=0,0,1))</f>
        <v/>
      </c>
    </row>
    <row r="50" spans="1:55" s="90" customFormat="1" ht="12" customHeight="1" x14ac:dyDescent="0.15">
      <c r="A50" s="51" t="s">
        <v>2102</v>
      </c>
      <c r="B50" s="51" t="s">
        <v>2407</v>
      </c>
      <c r="C50" s="51" t="s">
        <v>2101</v>
      </c>
      <c r="D50" s="51" t="s">
        <v>952</v>
      </c>
      <c r="E50" s="51" t="s">
        <v>2031</v>
      </c>
      <c r="F50" s="85">
        <v>41385</v>
      </c>
      <c r="G50" s="86"/>
      <c r="H50" s="87"/>
      <c r="I50" s="87"/>
      <c r="J50" s="87"/>
      <c r="K50" s="87"/>
      <c r="L50" s="86"/>
      <c r="M50" s="333" t="str">
        <f t="shared" ref="M50:M57" si="26">IF(H50="","--",L50/H50)</f>
        <v>--</v>
      </c>
      <c r="N50" s="333" t="str">
        <f t="shared" ref="N50:N57" si="27">IF(H50="","--",I50/H50)</f>
        <v>--</v>
      </c>
      <c r="O50" s="333" t="str">
        <f t="shared" ref="O50:O57" si="28">IF(H50="","--",SUM(I50:K50)/H50)</f>
        <v>--</v>
      </c>
      <c r="P50" s="349"/>
      <c r="Q50" s="89"/>
      <c r="R50" s="89" t="s">
        <v>3642</v>
      </c>
      <c r="S50" s="55"/>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13"/>
      <c r="BA50" s="441" t="str">
        <f t="shared" si="25"/>
        <v/>
      </c>
    </row>
    <row r="51" spans="1:55" s="90" customFormat="1" ht="12" customHeight="1" x14ac:dyDescent="0.15">
      <c r="A51" s="51" t="s">
        <v>2306</v>
      </c>
      <c r="B51" s="51" t="s">
        <v>2319</v>
      </c>
      <c r="C51" s="51" t="s">
        <v>2244</v>
      </c>
      <c r="D51" s="51" t="s">
        <v>2008</v>
      </c>
      <c r="E51" s="51" t="s">
        <v>2266</v>
      </c>
      <c r="F51" s="85">
        <v>41386</v>
      </c>
      <c r="G51" s="86"/>
      <c r="H51" s="87"/>
      <c r="I51" s="87"/>
      <c r="J51" s="87"/>
      <c r="K51" s="87"/>
      <c r="L51" s="86"/>
      <c r="M51" s="333" t="str">
        <f t="shared" si="26"/>
        <v>--</v>
      </c>
      <c r="N51" s="333" t="str">
        <f t="shared" si="27"/>
        <v>--</v>
      </c>
      <c r="O51" s="333" t="str">
        <f t="shared" si="28"/>
        <v>--</v>
      </c>
      <c r="P51" s="349"/>
      <c r="Q51" s="89"/>
      <c r="R51" s="89"/>
      <c r="S51" s="55"/>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13"/>
      <c r="BA51" s="441" t="str">
        <f t="shared" ref="BA51:BA57" si="29">IF(I51="","",IF(I51=0,0,1))</f>
        <v/>
      </c>
    </row>
    <row r="52" spans="1:55" s="90" customFormat="1" ht="12" customHeight="1" x14ac:dyDescent="0.15">
      <c r="A52" s="51" t="s">
        <v>3180</v>
      </c>
      <c r="B52" s="51" t="s">
        <v>3075</v>
      </c>
      <c r="C52" s="51" t="s">
        <v>1974</v>
      </c>
      <c r="D52" s="51" t="s">
        <v>1006</v>
      </c>
      <c r="E52" s="51" t="s">
        <v>1975</v>
      </c>
      <c r="F52" s="85">
        <v>41334</v>
      </c>
      <c r="G52" s="86">
        <v>45000</v>
      </c>
      <c r="H52" s="87"/>
      <c r="I52" s="87"/>
      <c r="J52" s="87"/>
      <c r="K52" s="87"/>
      <c r="L52" s="86"/>
      <c r="M52" s="333" t="str">
        <f t="shared" si="26"/>
        <v>--</v>
      </c>
      <c r="N52" s="333" t="str">
        <f t="shared" si="27"/>
        <v>--</v>
      </c>
      <c r="O52" s="333" t="str">
        <f t="shared" si="28"/>
        <v>--</v>
      </c>
      <c r="P52" s="349"/>
      <c r="Q52" s="89"/>
      <c r="R52" s="89" t="s">
        <v>2461</v>
      </c>
      <c r="S52" s="55"/>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13"/>
      <c r="BA52" s="441" t="str">
        <f t="shared" si="29"/>
        <v/>
      </c>
    </row>
    <row r="53" spans="1:55" s="90" customFormat="1" ht="12" customHeight="1" x14ac:dyDescent="0.15">
      <c r="A53" s="51" t="s">
        <v>3202</v>
      </c>
      <c r="B53" s="51" t="s">
        <v>1837</v>
      </c>
      <c r="C53" s="51" t="s">
        <v>2291</v>
      </c>
      <c r="D53" s="51" t="s">
        <v>2008</v>
      </c>
      <c r="E53" s="51" t="s">
        <v>2292</v>
      </c>
      <c r="F53" s="85">
        <v>41373</v>
      </c>
      <c r="G53" s="86"/>
      <c r="H53" s="87"/>
      <c r="I53" s="87"/>
      <c r="J53" s="87"/>
      <c r="K53" s="87"/>
      <c r="L53" s="86"/>
      <c r="M53" s="333" t="str">
        <f t="shared" si="26"/>
        <v>--</v>
      </c>
      <c r="N53" s="333" t="str">
        <f t="shared" si="27"/>
        <v>--</v>
      </c>
      <c r="O53" s="333" t="str">
        <f t="shared" si="28"/>
        <v>--</v>
      </c>
      <c r="P53" s="349"/>
      <c r="Q53" s="89"/>
      <c r="R53" s="349" t="s">
        <v>3733</v>
      </c>
      <c r="S53" s="55"/>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13"/>
      <c r="BA53" s="441" t="str">
        <f t="shared" si="29"/>
        <v/>
      </c>
    </row>
    <row r="54" spans="1:55" s="90" customFormat="1" ht="12" customHeight="1" x14ac:dyDescent="0.15">
      <c r="A54" s="352" t="s">
        <v>3697</v>
      </c>
      <c r="B54" s="51" t="s">
        <v>2261</v>
      </c>
      <c r="C54" s="51" t="s">
        <v>2240</v>
      </c>
      <c r="D54" s="51" t="s">
        <v>2251</v>
      </c>
      <c r="E54" s="51" t="s">
        <v>2260</v>
      </c>
      <c r="F54" s="85">
        <v>41361</v>
      </c>
      <c r="G54" s="86"/>
      <c r="H54" s="87"/>
      <c r="I54" s="87"/>
      <c r="J54" s="87"/>
      <c r="K54" s="87"/>
      <c r="L54" s="86"/>
      <c r="M54" s="333" t="str">
        <f>IF(H54="","--",L54/H54)</f>
        <v>--</v>
      </c>
      <c r="N54" s="333" t="str">
        <f>IF(H54="","--",I54/H54)</f>
        <v>--</v>
      </c>
      <c r="O54" s="333" t="str">
        <f>IF(H54="","--",SUM(I54:K54)/H54)</f>
        <v>--</v>
      </c>
      <c r="P54" s="349"/>
      <c r="Q54" s="89"/>
      <c r="R54" s="89"/>
      <c r="S54" s="55"/>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13"/>
      <c r="BA54" s="441" t="str">
        <f t="shared" si="29"/>
        <v/>
      </c>
    </row>
    <row r="55" spans="1:55" s="90" customFormat="1" ht="12" customHeight="1" x14ac:dyDescent="0.15">
      <c r="A55" s="361" t="s">
        <v>2136</v>
      </c>
      <c r="B55" s="51" t="s">
        <v>1684</v>
      </c>
      <c r="C55" s="51" t="s">
        <v>3065</v>
      </c>
      <c r="D55" s="51" t="s">
        <v>3066</v>
      </c>
      <c r="E55" s="51" t="s">
        <v>3072</v>
      </c>
      <c r="F55" s="85">
        <v>41415</v>
      </c>
      <c r="G55" s="86"/>
      <c r="H55" s="348"/>
      <c r="I55" s="348"/>
      <c r="J55" s="348"/>
      <c r="K55" s="348"/>
      <c r="L55" s="86"/>
      <c r="M55" s="333" t="str">
        <f t="shared" si="26"/>
        <v>--</v>
      </c>
      <c r="N55" s="333" t="str">
        <f t="shared" si="27"/>
        <v>--</v>
      </c>
      <c r="O55" s="333" t="str">
        <f t="shared" si="28"/>
        <v>--</v>
      </c>
      <c r="P55" s="349"/>
      <c r="Q55" s="349"/>
      <c r="R55" s="349"/>
      <c r="S55" s="55"/>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13"/>
      <c r="BA55" s="441" t="str">
        <f t="shared" si="29"/>
        <v/>
      </c>
    </row>
    <row r="56" spans="1:55" s="90" customFormat="1" ht="12" customHeight="1" x14ac:dyDescent="0.15">
      <c r="A56" s="361" t="s">
        <v>2136</v>
      </c>
      <c r="B56" s="51" t="s">
        <v>2263</v>
      </c>
      <c r="C56" s="51" t="s">
        <v>3067</v>
      </c>
      <c r="D56" s="51" t="s">
        <v>792</v>
      </c>
      <c r="E56" s="51" t="s">
        <v>3073</v>
      </c>
      <c r="F56" s="85">
        <v>41349</v>
      </c>
      <c r="G56" s="86"/>
      <c r="H56" s="348"/>
      <c r="I56" s="348"/>
      <c r="J56" s="348"/>
      <c r="K56" s="348"/>
      <c r="L56" s="86"/>
      <c r="M56" s="333" t="str">
        <f t="shared" si="26"/>
        <v>--</v>
      </c>
      <c r="N56" s="333" t="str">
        <f t="shared" si="27"/>
        <v>--</v>
      </c>
      <c r="O56" s="333" t="str">
        <f t="shared" si="28"/>
        <v>--</v>
      </c>
      <c r="P56" s="349"/>
      <c r="Q56" s="349"/>
      <c r="R56" s="349"/>
      <c r="S56" s="55"/>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13"/>
      <c r="BA56" s="441" t="str">
        <f t="shared" si="29"/>
        <v/>
      </c>
    </row>
    <row r="57" spans="1:55" s="90" customFormat="1" ht="12" customHeight="1" x14ac:dyDescent="0.15">
      <c r="A57" s="361" t="s">
        <v>2136</v>
      </c>
      <c r="B57" s="51" t="s">
        <v>1837</v>
      </c>
      <c r="C57" s="51" t="s">
        <v>1899</v>
      </c>
      <c r="D57" s="51" t="s">
        <v>1901</v>
      </c>
      <c r="E57" s="51" t="s">
        <v>1994</v>
      </c>
      <c r="F57" s="85">
        <v>41374</v>
      </c>
      <c r="G57" s="86"/>
      <c r="H57" s="87"/>
      <c r="I57" s="87"/>
      <c r="J57" s="87"/>
      <c r="K57" s="87"/>
      <c r="L57" s="86"/>
      <c r="M57" s="333" t="str">
        <f t="shared" si="26"/>
        <v>--</v>
      </c>
      <c r="N57" s="333" t="str">
        <f t="shared" si="27"/>
        <v>--</v>
      </c>
      <c r="O57" s="333" t="str">
        <f t="shared" si="28"/>
        <v>--</v>
      </c>
      <c r="P57" s="349"/>
      <c r="Q57" s="89"/>
      <c r="R57" s="89" t="s">
        <v>1996</v>
      </c>
      <c r="S57" s="55"/>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13"/>
      <c r="BA57" s="441" t="str">
        <f t="shared" si="29"/>
        <v/>
      </c>
    </row>
    <row r="58" spans="1:55" s="90" customFormat="1" ht="12" customHeight="1" x14ac:dyDescent="0.15">
      <c r="A58" s="533"/>
      <c r="B58" s="70"/>
      <c r="C58" s="70"/>
      <c r="D58" s="70"/>
      <c r="E58" s="70"/>
      <c r="F58" s="91"/>
      <c r="G58" s="92"/>
      <c r="H58" s="93"/>
      <c r="I58" s="93"/>
      <c r="J58" s="93"/>
      <c r="K58" s="93"/>
      <c r="L58" s="92"/>
      <c r="M58" s="333"/>
      <c r="N58" s="347"/>
      <c r="O58" s="347"/>
      <c r="P58" s="95"/>
      <c r="Q58" s="95"/>
      <c r="R58" s="95"/>
      <c r="S58" s="67"/>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13"/>
      <c r="BA58" s="441"/>
    </row>
    <row r="59" spans="1:55" s="90" customFormat="1" ht="12" customHeight="1" x14ac:dyDescent="0.15">
      <c r="A59" s="533"/>
      <c r="B59" s="70"/>
      <c r="C59" s="70"/>
      <c r="D59" s="70"/>
      <c r="E59" s="70"/>
      <c r="F59" s="91"/>
      <c r="G59" s="92"/>
      <c r="H59" s="93"/>
      <c r="I59" s="93"/>
      <c r="J59" s="93"/>
      <c r="K59" s="93"/>
      <c r="L59" s="92"/>
      <c r="M59" s="333"/>
      <c r="N59" s="347"/>
      <c r="O59" s="347"/>
      <c r="P59" s="95"/>
      <c r="Q59" s="95"/>
      <c r="R59" s="95"/>
      <c r="S59" s="67"/>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13"/>
      <c r="BA59" s="441"/>
    </row>
    <row r="60" spans="1:55" s="90" customFormat="1" ht="12" customHeight="1" x14ac:dyDescent="0.15">
      <c r="A60" s="533"/>
      <c r="B60" s="70"/>
      <c r="C60" s="70"/>
      <c r="D60" s="70"/>
      <c r="E60" s="70"/>
      <c r="F60" s="91"/>
      <c r="G60" s="92"/>
      <c r="H60" s="93"/>
      <c r="I60" s="93"/>
      <c r="J60" s="93"/>
      <c r="K60" s="93"/>
      <c r="L60" s="92"/>
      <c r="M60" s="333"/>
      <c r="N60" s="347"/>
      <c r="O60" s="347"/>
      <c r="P60" s="95"/>
      <c r="Q60" s="95"/>
      <c r="R60" s="95"/>
      <c r="S60" s="67"/>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13"/>
      <c r="BA60" s="441"/>
    </row>
    <row r="61" spans="1:55" ht="12" customHeight="1" x14ac:dyDescent="0.15">
      <c r="M61" s="119"/>
      <c r="N61" s="120"/>
      <c r="O61" s="120"/>
      <c r="P61" s="512"/>
      <c r="Q61" s="64"/>
      <c r="R61" s="7"/>
      <c r="S61" s="75"/>
      <c r="T61" s="6"/>
      <c r="BA61" s="441" t="str">
        <f>IF(I61="","",IF(I61=0,0,1))</f>
        <v/>
      </c>
      <c r="BC61" s="141" t="str">
        <f>IF(I61="","",IF(I61=0,0,1))</f>
        <v/>
      </c>
    </row>
    <row r="62" spans="1:55" s="90" customFormat="1" ht="12" customHeight="1" x14ac:dyDescent="0.15">
      <c r="A62" s="110" t="s">
        <v>1850</v>
      </c>
      <c r="B62" s="6"/>
      <c r="C62" s="6"/>
      <c r="D62" s="6"/>
      <c r="E62" s="6"/>
      <c r="F62" s="101"/>
      <c r="G62" s="96"/>
      <c r="H62" s="103"/>
      <c r="I62" s="103"/>
      <c r="J62" s="103"/>
      <c r="K62" s="103"/>
      <c r="L62" s="100"/>
      <c r="M62" s="100"/>
      <c r="N62" s="100"/>
      <c r="O62" s="100"/>
      <c r="P62" s="334"/>
      <c r="Q62" s="334"/>
      <c r="R62" s="149"/>
      <c r="S62" s="149"/>
      <c r="T62" s="6"/>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13"/>
      <c r="BA62" s="441" t="str">
        <f>IF(I62="","",IF(I62=0,0,1))</f>
        <v/>
      </c>
      <c r="BC62" s="441" t="str">
        <f>IF(I62="","",IF(I62=0,0,1))</f>
        <v/>
      </c>
    </row>
    <row r="63" spans="1:55" s="90" customFormat="1" ht="12" customHeight="1" x14ac:dyDescent="0.15">
      <c r="A63" s="51" t="s">
        <v>3100</v>
      </c>
      <c r="B63" s="51" t="s">
        <v>2169</v>
      </c>
      <c r="C63" s="51" t="s">
        <v>2250</v>
      </c>
      <c r="D63" s="51" t="s">
        <v>898</v>
      </c>
      <c r="E63" s="51" t="s">
        <v>2274</v>
      </c>
      <c r="F63" s="85">
        <v>41321</v>
      </c>
      <c r="G63" s="86"/>
      <c r="H63" s="87"/>
      <c r="I63" s="87"/>
      <c r="J63" s="87"/>
      <c r="K63" s="87"/>
      <c r="L63" s="86"/>
      <c r="M63" s="333" t="str">
        <f>IF(H63="","--",L63/H63)</f>
        <v>--</v>
      </c>
      <c r="N63" s="333" t="str">
        <f>IF(H63="","--",I63/H63)</f>
        <v>--</v>
      </c>
      <c r="O63" s="333" t="str">
        <f>IF(H63="","--",SUM(I63:K63)/H63)</f>
        <v>--</v>
      </c>
      <c r="P63" s="349" t="s">
        <v>3344</v>
      </c>
      <c r="Q63" s="349"/>
      <c r="R63" s="349" t="s">
        <v>3646</v>
      </c>
      <c r="S63" s="55"/>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13"/>
      <c r="BA63" s="441" t="str">
        <f>IF(I63="","",IF(I63=0,0,1))</f>
        <v/>
      </c>
    </row>
    <row r="64" spans="1:55" s="90" customFormat="1" ht="12" customHeight="1" x14ac:dyDescent="0.15">
      <c r="A64" s="51" t="s">
        <v>1551</v>
      </c>
      <c r="B64" s="51" t="s">
        <v>1988</v>
      </c>
      <c r="C64" s="51" t="s">
        <v>2249</v>
      </c>
      <c r="D64" s="51" t="s">
        <v>2257</v>
      </c>
      <c r="E64" s="51" t="s">
        <v>2273</v>
      </c>
      <c r="F64" s="85">
        <v>41368</v>
      </c>
      <c r="G64" s="86"/>
      <c r="H64" s="87"/>
      <c r="I64" s="87"/>
      <c r="J64" s="87"/>
      <c r="K64" s="87"/>
      <c r="L64" s="86"/>
      <c r="M64" s="333" t="str">
        <f>IF(H64="","--",L64/H64)</f>
        <v>--</v>
      </c>
      <c r="N64" s="333" t="str">
        <f>IF(H64="","--",I64/H64)</f>
        <v>--</v>
      </c>
      <c r="O64" s="333" t="str">
        <f>IF(H64="","--",SUM(I64:K64)/H64)</f>
        <v>--</v>
      </c>
      <c r="P64" s="349" t="s">
        <v>3344</v>
      </c>
      <c r="Q64" s="89"/>
      <c r="R64" s="89" t="s">
        <v>3646</v>
      </c>
      <c r="S64" s="55"/>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13"/>
      <c r="BA64" s="441" t="str">
        <f>IF(I64="","",IF(I64=0,0,1))</f>
        <v/>
      </c>
    </row>
    <row r="65" spans="1:53" ht="12" customHeight="1" x14ac:dyDescent="0.15">
      <c r="N65" s="8"/>
      <c r="O65" s="8"/>
      <c r="S65" s="13"/>
      <c r="T65" s="13"/>
      <c r="BA65" s="441" t="str">
        <f>IF(I65="","",IF(I65=0,0,1))</f>
        <v/>
      </c>
    </row>
    <row r="66" spans="1:53" ht="12" customHeight="1" x14ac:dyDescent="0.15">
      <c r="N66" s="8"/>
      <c r="O66" s="8"/>
      <c r="S66" s="13"/>
      <c r="T66" s="13"/>
      <c r="BA66" s="6">
        <f>SUM(BA6:BA65)</f>
        <v>11</v>
      </c>
    </row>
    <row r="67" spans="1:53" ht="12" customHeight="1" x14ac:dyDescent="0.15">
      <c r="G67" s="11" t="s">
        <v>1573</v>
      </c>
      <c r="H67" s="75">
        <f>COUNT(L6:L65)</f>
        <v>23</v>
      </c>
      <c r="N67" s="8"/>
      <c r="O67" s="8"/>
      <c r="S67" s="13"/>
      <c r="T67" s="13"/>
      <c r="BA67" s="6"/>
    </row>
    <row r="68" spans="1:53" ht="12" customHeight="1" x14ac:dyDescent="0.15">
      <c r="G68" s="11" t="s">
        <v>1588</v>
      </c>
      <c r="H68" s="75">
        <f>BA66</f>
        <v>11</v>
      </c>
      <c r="N68" s="8"/>
      <c r="O68" s="8"/>
      <c r="S68" s="13"/>
      <c r="T68" s="13"/>
      <c r="BA68" s="6"/>
    </row>
    <row r="69" spans="1:53" ht="12" customHeight="1" x14ac:dyDescent="0.15">
      <c r="C69" s="110"/>
      <c r="G69" s="11" t="s">
        <v>1589</v>
      </c>
      <c r="H69" s="124">
        <f>H68/H67</f>
        <v>0.47826086956521741</v>
      </c>
      <c r="N69" s="8"/>
      <c r="O69" s="8"/>
      <c r="S69" s="13"/>
      <c r="T69" s="13"/>
      <c r="BA69" s="6"/>
    </row>
    <row r="70" spans="1:53" ht="12" customHeight="1" x14ac:dyDescent="0.15">
      <c r="N70" s="8"/>
      <c r="O70" s="8"/>
      <c r="S70" s="13"/>
      <c r="T70" s="13"/>
      <c r="BA70" s="6"/>
    </row>
    <row r="71" spans="1:53" ht="12" customHeight="1" x14ac:dyDescent="0.15">
      <c r="F71" s="91"/>
      <c r="G71" s="92"/>
      <c r="H71" s="93"/>
      <c r="I71" s="93"/>
      <c r="J71" s="93"/>
      <c r="K71" s="93"/>
      <c r="L71" s="99"/>
      <c r="M71" s="100"/>
      <c r="N71" s="334"/>
      <c r="O71" s="334"/>
      <c r="P71" s="149"/>
      <c r="Q71" s="103"/>
      <c r="BA71" s="6"/>
    </row>
    <row r="72" spans="1:53" ht="12" customHeight="1" x14ac:dyDescent="0.15">
      <c r="F72" s="105" t="s">
        <v>852</v>
      </c>
      <c r="G72" s="131">
        <f>SUM(G$6:G$65)/COUNT(G$6:G$65)</f>
        <v>21033.857142857141</v>
      </c>
      <c r="H72" s="132"/>
      <c r="I72" s="132"/>
      <c r="J72" s="132"/>
      <c r="K72" s="132"/>
      <c r="L72" s="98"/>
      <c r="M72" s="98"/>
      <c r="N72" s="335"/>
      <c r="O72" s="335"/>
      <c r="P72" s="133"/>
      <c r="Q72" s="133"/>
      <c r="S72" s="13"/>
      <c r="T72" s="13"/>
      <c r="BA72" s="6"/>
    </row>
    <row r="73" spans="1:53" ht="12" customHeight="1" x14ac:dyDescent="0.15">
      <c r="F73" s="105"/>
      <c r="G73" s="151"/>
      <c r="H73" s="132"/>
      <c r="I73" s="132"/>
      <c r="J73" s="132"/>
      <c r="K73" s="132"/>
      <c r="L73" s="152"/>
      <c r="M73" s="152"/>
      <c r="N73" s="335"/>
      <c r="O73" s="335"/>
      <c r="P73" s="133"/>
      <c r="Q73" s="133"/>
      <c r="S73" s="13"/>
      <c r="T73" s="13"/>
      <c r="BA73" s="6"/>
    </row>
    <row r="74" spans="1:53" ht="12" customHeight="1" x14ac:dyDescent="0.15">
      <c r="F74" s="105"/>
      <c r="G74" s="153" t="s">
        <v>1148</v>
      </c>
      <c r="H74" s="154">
        <f>SUM(H$2:H$65)</f>
        <v>147</v>
      </c>
      <c r="I74" s="154">
        <f>SUM(I$2:I$65)</f>
        <v>20</v>
      </c>
      <c r="J74" s="154">
        <f>SUM(J$2:J$65)</f>
        <v>23</v>
      </c>
      <c r="K74" s="154">
        <f>SUM(K$2:K$65)</f>
        <v>16</v>
      </c>
      <c r="L74" s="86">
        <f>SUM(L$2:L$65)</f>
        <v>789153</v>
      </c>
      <c r="M74" s="92"/>
      <c r="N74" s="63"/>
      <c r="O74" s="63"/>
      <c r="P74" s="155"/>
      <c r="Q74" s="155"/>
      <c r="R74" s="37" t="s">
        <v>361</v>
      </c>
      <c r="S74" s="13"/>
      <c r="T74" s="13"/>
      <c r="BA74" s="6"/>
    </row>
    <row r="75" spans="1:53" ht="12" customHeight="1" x14ac:dyDescent="0.15">
      <c r="F75" s="105"/>
      <c r="G75" s="123" t="s">
        <v>1273</v>
      </c>
      <c r="H75" s="154"/>
      <c r="I75" s="154"/>
      <c r="J75" s="154"/>
      <c r="K75" s="154"/>
      <c r="L75" s="86">
        <f>L74/H74</f>
        <v>5368.3877551020405</v>
      </c>
      <c r="M75" s="92"/>
      <c r="N75" s="63"/>
      <c r="O75" s="63"/>
      <c r="P75" s="155"/>
      <c r="Q75" s="155"/>
      <c r="R75" s="37"/>
      <c r="S75" s="13"/>
      <c r="T75" s="13"/>
      <c r="BA75" s="6"/>
    </row>
    <row r="76" spans="1:53" ht="12" customHeight="1" x14ac:dyDescent="0.15">
      <c r="F76" s="71"/>
      <c r="G76" s="21" t="s">
        <v>1252</v>
      </c>
      <c r="H76" s="156">
        <f>I74/H74</f>
        <v>0.1360544217687075</v>
      </c>
      <c r="L76" s="157"/>
      <c r="M76" s="157"/>
      <c r="N76" s="339"/>
      <c r="O76" s="339"/>
      <c r="Q76" s="7"/>
      <c r="S76" s="13"/>
      <c r="T76" s="13"/>
      <c r="BA76" s="6"/>
    </row>
    <row r="77" spans="1:53" s="112" customFormat="1" ht="12" customHeight="1" x14ac:dyDescent="0.15">
      <c r="A77" s="110"/>
      <c r="B77" s="110"/>
      <c r="C77" s="110"/>
      <c r="D77" s="110"/>
      <c r="E77" s="110"/>
      <c r="F77" s="107"/>
      <c r="G77" s="21" t="s">
        <v>1253</v>
      </c>
      <c r="H77" s="156">
        <f>(SUM(I74:K74)/H74)</f>
        <v>0.40136054421768708</v>
      </c>
      <c r="I77" s="134"/>
      <c r="J77" s="134"/>
      <c r="K77" s="134"/>
      <c r="L77" s="158"/>
      <c r="M77" s="158"/>
      <c r="N77" s="340"/>
      <c r="O77" s="340"/>
      <c r="P77" s="159"/>
      <c r="Q77" s="159"/>
      <c r="R77" s="110"/>
      <c r="BA77" s="6"/>
    </row>
    <row r="78" spans="1:53" ht="12" customHeight="1" x14ac:dyDescent="0.15">
      <c r="H78" s="103"/>
      <c r="I78" s="103"/>
      <c r="J78" s="103"/>
      <c r="K78" s="103"/>
      <c r="L78" s="160"/>
      <c r="M78" s="160"/>
      <c r="N78" s="338"/>
      <c r="O78" s="338"/>
      <c r="P78" s="127"/>
      <c r="Q78" s="127"/>
      <c r="S78" s="13"/>
      <c r="T78" s="13"/>
      <c r="BA78" s="6"/>
    </row>
    <row r="79" spans="1:53" s="90" customFormat="1" ht="12" customHeight="1" x14ac:dyDescent="0.15">
      <c r="A79" s="51"/>
      <c r="B79" s="51"/>
      <c r="C79" s="51"/>
      <c r="D79" s="51"/>
      <c r="E79" s="51"/>
      <c r="F79" s="85"/>
      <c r="G79" s="86"/>
      <c r="H79" s="87"/>
      <c r="I79" s="87"/>
      <c r="J79" s="87"/>
      <c r="K79" s="87"/>
      <c r="L79" s="86"/>
      <c r="M79" s="86"/>
      <c r="N79" s="86"/>
      <c r="O79" s="86"/>
      <c r="P79" s="349"/>
      <c r="Q79" s="89"/>
      <c r="R79" s="89"/>
      <c r="S79" s="55"/>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13"/>
    </row>
    <row r="80" spans="1:53" s="90" customFormat="1" ht="12" customHeight="1" x14ac:dyDescent="0.15">
      <c r="A80" s="51"/>
      <c r="B80" s="51"/>
      <c r="C80" s="51"/>
      <c r="D80" s="51"/>
      <c r="E80" s="51"/>
      <c r="F80" s="85"/>
      <c r="G80" s="86"/>
      <c r="H80" s="87"/>
      <c r="I80" s="87"/>
      <c r="J80" s="87"/>
      <c r="K80" s="87"/>
      <c r="L80" s="86"/>
      <c r="M80" s="86"/>
      <c r="N80" s="86"/>
      <c r="O80" s="86"/>
      <c r="P80" s="349"/>
      <c r="Q80" s="89"/>
      <c r="R80" s="89"/>
      <c r="S80" s="55"/>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13"/>
    </row>
    <row r="81" spans="1:47" s="90" customFormat="1" ht="12" customHeight="1" x14ac:dyDescent="0.15">
      <c r="A81" s="372" t="s">
        <v>612</v>
      </c>
      <c r="B81" s="51"/>
      <c r="C81" s="51"/>
      <c r="D81" s="51"/>
      <c r="E81" s="51"/>
      <c r="F81" s="85"/>
      <c r="G81" s="86"/>
      <c r="H81" s="87"/>
      <c r="I81" s="87"/>
      <c r="J81" s="87"/>
      <c r="K81" s="87"/>
      <c r="L81" s="86"/>
      <c r="M81" s="86"/>
      <c r="N81" s="86"/>
      <c r="O81" s="86"/>
      <c r="P81" s="349"/>
      <c r="Q81" s="89"/>
      <c r="R81" s="89"/>
      <c r="S81" s="55"/>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13"/>
    </row>
    <row r="82" spans="1:47" s="90" customFormat="1" ht="12" customHeight="1" x14ac:dyDescent="0.15">
      <c r="A82" s="51" t="s">
        <v>3510</v>
      </c>
      <c r="B82" s="51"/>
      <c r="C82" s="51" t="s">
        <v>1791</v>
      </c>
      <c r="D82" s="51" t="s">
        <v>1418</v>
      </c>
      <c r="E82" s="51"/>
      <c r="F82" s="85"/>
      <c r="G82" s="86"/>
      <c r="H82" s="87"/>
      <c r="I82" s="87"/>
      <c r="J82" s="87"/>
      <c r="K82" s="87"/>
      <c r="L82" s="86"/>
      <c r="M82" s="86"/>
      <c r="N82" s="86"/>
      <c r="O82" s="86"/>
      <c r="P82" s="349"/>
      <c r="Q82" s="89"/>
      <c r="R82" s="89" t="s">
        <v>1995</v>
      </c>
      <c r="S82" s="55"/>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13"/>
    </row>
    <row r="83" spans="1:47" s="90" customFormat="1" ht="12" customHeight="1" x14ac:dyDescent="0.15">
      <c r="A83" s="51" t="s">
        <v>3308</v>
      </c>
      <c r="B83" s="51"/>
      <c r="C83" s="51" t="s">
        <v>3511</v>
      </c>
      <c r="D83" s="51"/>
      <c r="E83" s="51"/>
      <c r="F83" s="85"/>
      <c r="G83" s="86"/>
      <c r="H83" s="87"/>
      <c r="I83" s="87"/>
      <c r="J83" s="87"/>
      <c r="K83" s="87"/>
      <c r="L83" s="86"/>
      <c r="M83" s="86"/>
      <c r="N83" s="86"/>
      <c r="O83" s="86"/>
      <c r="P83" s="349"/>
      <c r="Q83" s="89"/>
      <c r="R83" s="89"/>
      <c r="S83" s="55"/>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13"/>
    </row>
    <row r="84" spans="1:47" s="90" customFormat="1" ht="12" customHeight="1" x14ac:dyDescent="0.15">
      <c r="A84" s="70" t="s">
        <v>3513</v>
      </c>
      <c r="B84" s="70"/>
      <c r="C84" s="70" t="s">
        <v>3512</v>
      </c>
      <c r="D84" s="70"/>
      <c r="E84" s="70"/>
      <c r="F84" s="91"/>
      <c r="G84" s="92"/>
      <c r="H84" s="93"/>
      <c r="I84" s="93"/>
      <c r="J84" s="93"/>
      <c r="K84" s="93"/>
      <c r="L84" s="92"/>
      <c r="M84" s="86"/>
      <c r="N84" s="92"/>
      <c r="O84" s="92"/>
      <c r="P84" s="95"/>
      <c r="Q84" s="95"/>
      <c r="R84" s="349"/>
      <c r="S84" s="67"/>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13"/>
    </row>
    <row r="85" spans="1:47" s="90" customFormat="1" ht="12" customHeight="1" x14ac:dyDescent="0.15">
      <c r="A85" s="70" t="s">
        <v>3308</v>
      </c>
      <c r="B85" s="70"/>
      <c r="C85" s="70" t="s">
        <v>3514</v>
      </c>
      <c r="D85" s="70"/>
      <c r="E85" s="70"/>
      <c r="F85" s="91"/>
      <c r="G85" s="92"/>
      <c r="H85" s="93"/>
      <c r="I85" s="93"/>
      <c r="J85" s="93"/>
      <c r="K85" s="93"/>
      <c r="L85" s="92"/>
      <c r="M85" s="86"/>
      <c r="N85" s="92"/>
      <c r="O85" s="92"/>
      <c r="P85" s="95"/>
      <c r="Q85" s="95"/>
      <c r="R85" s="349"/>
      <c r="S85" s="67"/>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13"/>
    </row>
    <row r="86" spans="1:47" s="90" customFormat="1" ht="12" customHeight="1" x14ac:dyDescent="0.15">
      <c r="A86" s="70" t="s">
        <v>3308</v>
      </c>
      <c r="B86" s="70"/>
      <c r="C86" s="70" t="s">
        <v>2058</v>
      </c>
      <c r="D86" s="70"/>
      <c r="E86" s="70"/>
      <c r="F86" s="91"/>
      <c r="G86" s="92"/>
      <c r="H86" s="93"/>
      <c r="I86" s="93"/>
      <c r="J86" s="93"/>
      <c r="K86" s="93"/>
      <c r="L86" s="92"/>
      <c r="M86" s="86"/>
      <c r="N86" s="92"/>
      <c r="O86" s="92"/>
      <c r="P86" s="95"/>
      <c r="Q86" s="95"/>
      <c r="R86" s="349"/>
      <c r="S86" s="67"/>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13"/>
    </row>
    <row r="87" spans="1:47" s="90" customFormat="1" ht="12" customHeight="1" x14ac:dyDescent="0.15">
      <c r="A87" s="70" t="s">
        <v>3516</v>
      </c>
      <c r="B87" s="70"/>
      <c r="C87" s="70" t="s">
        <v>3515</v>
      </c>
      <c r="D87" s="70"/>
      <c r="E87" s="70"/>
      <c r="F87" s="91"/>
      <c r="G87" s="92"/>
      <c r="H87" s="93"/>
      <c r="I87" s="93"/>
      <c r="J87" s="93"/>
      <c r="K87" s="93"/>
      <c r="L87" s="92"/>
      <c r="M87" s="86"/>
      <c r="N87" s="92"/>
      <c r="O87" s="92"/>
      <c r="P87" s="95"/>
      <c r="Q87" s="95"/>
      <c r="R87" s="349"/>
      <c r="S87" s="67"/>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13"/>
    </row>
    <row r="88" spans="1:47" s="90" customFormat="1" ht="12" customHeight="1" x14ac:dyDescent="0.15">
      <c r="A88" s="70" t="s">
        <v>3513</v>
      </c>
      <c r="B88" s="70"/>
      <c r="C88" s="70" t="s">
        <v>3518</v>
      </c>
      <c r="D88" s="70"/>
      <c r="E88" s="70"/>
      <c r="F88" s="91"/>
      <c r="G88" s="92"/>
      <c r="H88" s="93"/>
      <c r="I88" s="93"/>
      <c r="J88" s="93"/>
      <c r="K88" s="93"/>
      <c r="L88" s="92"/>
      <c r="M88" s="86"/>
      <c r="N88" s="92"/>
      <c r="O88" s="92"/>
      <c r="P88" s="95"/>
      <c r="Q88" s="95"/>
      <c r="R88" s="349"/>
      <c r="S88" s="67"/>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13"/>
    </row>
    <row r="89" spans="1:47" s="90" customFormat="1" ht="12" customHeight="1" x14ac:dyDescent="0.15">
      <c r="A89" s="70" t="s">
        <v>3308</v>
      </c>
      <c r="B89" s="70"/>
      <c r="C89" s="70" t="s">
        <v>3517</v>
      </c>
      <c r="D89" s="70"/>
      <c r="E89" s="70"/>
      <c r="F89" s="91"/>
      <c r="G89" s="92"/>
      <c r="H89" s="93"/>
      <c r="I89" s="93"/>
      <c r="J89" s="93"/>
      <c r="K89" s="93"/>
      <c r="L89" s="92"/>
      <c r="M89" s="86"/>
      <c r="N89" s="92"/>
      <c r="O89" s="92"/>
      <c r="P89" s="95"/>
      <c r="Q89" s="95"/>
      <c r="R89" s="349"/>
      <c r="S89" s="67"/>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13"/>
    </row>
    <row r="90" spans="1:47" s="90" customFormat="1" ht="12" customHeight="1" x14ac:dyDescent="0.15">
      <c r="A90" s="70" t="s">
        <v>3308</v>
      </c>
      <c r="B90" s="70"/>
      <c r="C90" s="70" t="s">
        <v>3523</v>
      </c>
      <c r="D90" s="70"/>
      <c r="E90" s="70"/>
      <c r="F90" s="91"/>
      <c r="G90" s="92"/>
      <c r="H90" s="93"/>
      <c r="I90" s="93"/>
      <c r="J90" s="93"/>
      <c r="K90" s="93"/>
      <c r="L90" s="92"/>
      <c r="M90" s="86"/>
      <c r="N90" s="92"/>
      <c r="O90" s="92"/>
      <c r="P90" s="95"/>
      <c r="Q90" s="95"/>
      <c r="R90" s="349"/>
      <c r="S90" s="67"/>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13"/>
    </row>
    <row r="91" spans="1:47" s="90" customFormat="1" ht="12" customHeight="1" x14ac:dyDescent="0.15">
      <c r="A91" s="70" t="s">
        <v>3516</v>
      </c>
      <c r="B91" s="70"/>
      <c r="C91" s="70" t="s">
        <v>3524</v>
      </c>
      <c r="D91" s="70"/>
      <c r="E91" s="70"/>
      <c r="F91" s="91"/>
      <c r="G91" s="92"/>
      <c r="H91" s="93"/>
      <c r="I91" s="93"/>
      <c r="J91" s="93"/>
      <c r="K91" s="93"/>
      <c r="L91" s="92"/>
      <c r="M91" s="86"/>
      <c r="N91" s="92"/>
      <c r="O91" s="92"/>
      <c r="P91" s="95"/>
      <c r="Q91" s="95"/>
      <c r="R91" s="349"/>
      <c r="S91" s="67"/>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13"/>
    </row>
    <row r="92" spans="1:47" s="90" customFormat="1" ht="12" customHeight="1" x14ac:dyDescent="0.15">
      <c r="A92" s="70" t="s">
        <v>3516</v>
      </c>
      <c r="B92" s="70"/>
      <c r="C92" s="70" t="s">
        <v>3525</v>
      </c>
      <c r="D92" s="70"/>
      <c r="E92" s="70"/>
      <c r="F92" s="91"/>
      <c r="G92" s="92"/>
      <c r="H92" s="93"/>
      <c r="I92" s="93"/>
      <c r="J92" s="93"/>
      <c r="K92" s="93"/>
      <c r="L92" s="92"/>
      <c r="M92" s="86"/>
      <c r="N92" s="92"/>
      <c r="O92" s="92"/>
      <c r="P92" s="95"/>
      <c r="Q92" s="95"/>
      <c r="R92" s="349"/>
      <c r="S92" s="67"/>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13"/>
    </row>
    <row r="93" spans="1:47" s="90" customFormat="1" ht="12" customHeight="1" x14ac:dyDescent="0.15">
      <c r="A93" s="70" t="s">
        <v>3513</v>
      </c>
      <c r="B93" s="70"/>
      <c r="C93" s="70" t="s">
        <v>3526</v>
      </c>
      <c r="D93" s="70"/>
      <c r="E93" s="70"/>
      <c r="F93" s="91"/>
      <c r="G93" s="92"/>
      <c r="H93" s="93"/>
      <c r="I93" s="93"/>
      <c r="J93" s="93"/>
      <c r="K93" s="93"/>
      <c r="L93" s="92"/>
      <c r="M93" s="86"/>
      <c r="N93" s="92"/>
      <c r="O93" s="92"/>
      <c r="P93" s="95"/>
      <c r="Q93" s="95"/>
      <c r="R93" s="349"/>
      <c r="S93" s="67"/>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13"/>
    </row>
    <row r="94" spans="1:47" s="90" customFormat="1" ht="12" customHeight="1" x14ac:dyDescent="0.15">
      <c r="A94" s="70" t="s">
        <v>3308</v>
      </c>
      <c r="B94" s="70"/>
      <c r="C94" s="70" t="s">
        <v>3527</v>
      </c>
      <c r="D94" s="70"/>
      <c r="E94" s="70"/>
      <c r="F94" s="91"/>
      <c r="G94" s="92"/>
      <c r="H94" s="93"/>
      <c r="I94" s="93"/>
      <c r="J94" s="93"/>
      <c r="K94" s="93"/>
      <c r="L94" s="92"/>
      <c r="M94" s="86"/>
      <c r="N94" s="92"/>
      <c r="O94" s="92"/>
      <c r="P94" s="95"/>
      <c r="Q94" s="95"/>
      <c r="R94" s="349"/>
      <c r="S94" s="67"/>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13"/>
    </row>
    <row r="95" spans="1:47" s="90" customFormat="1" ht="12" customHeight="1" x14ac:dyDescent="0.15">
      <c r="A95" s="70" t="s">
        <v>3308</v>
      </c>
      <c r="B95" s="70"/>
      <c r="C95" s="70" t="s">
        <v>3528</v>
      </c>
      <c r="D95" s="70"/>
      <c r="E95" s="70"/>
      <c r="F95" s="91"/>
      <c r="G95" s="92"/>
      <c r="H95" s="93"/>
      <c r="I95" s="93"/>
      <c r="J95" s="93"/>
      <c r="K95" s="93"/>
      <c r="L95" s="92"/>
      <c r="M95" s="86"/>
      <c r="N95" s="92"/>
      <c r="O95" s="92"/>
      <c r="P95" s="95"/>
      <c r="Q95" s="95"/>
      <c r="R95" s="349"/>
      <c r="S95" s="67"/>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13"/>
    </row>
    <row r="96" spans="1:47" s="90" customFormat="1" ht="12" customHeight="1" x14ac:dyDescent="0.15">
      <c r="A96" s="70"/>
      <c r="B96" s="70"/>
      <c r="C96" s="70"/>
      <c r="D96" s="70"/>
      <c r="E96" s="70"/>
      <c r="F96" s="91"/>
      <c r="G96" s="92"/>
      <c r="H96" s="93"/>
      <c r="I96" s="93"/>
      <c r="J96" s="93"/>
      <c r="K96" s="93"/>
      <c r="L96" s="92"/>
      <c r="M96" s="86"/>
      <c r="N96" s="92"/>
      <c r="O96" s="92"/>
      <c r="P96" s="95"/>
      <c r="Q96" s="95"/>
      <c r="R96" s="349"/>
      <c r="S96" s="67"/>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13"/>
    </row>
    <row r="97" spans="1:47" s="90" customFormat="1" ht="12" customHeight="1" x14ac:dyDescent="0.15">
      <c r="A97" s="70"/>
      <c r="B97" s="70"/>
      <c r="C97" s="70"/>
      <c r="D97" s="70"/>
      <c r="E97" s="70"/>
      <c r="F97" s="91"/>
      <c r="G97" s="92"/>
      <c r="H97" s="93"/>
      <c r="I97" s="93"/>
      <c r="J97" s="93"/>
      <c r="K97" s="93"/>
      <c r="L97" s="92"/>
      <c r="M97" s="86"/>
      <c r="N97" s="92"/>
      <c r="O97" s="92"/>
      <c r="P97" s="95"/>
      <c r="Q97" s="95"/>
      <c r="R97" s="349"/>
      <c r="S97" s="67"/>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13"/>
    </row>
    <row r="98" spans="1:47" s="90" customFormat="1" ht="12" customHeight="1" x14ac:dyDescent="0.15">
      <c r="A98" s="70"/>
      <c r="B98" s="70"/>
      <c r="C98" s="70"/>
      <c r="D98" s="70"/>
      <c r="E98" s="70"/>
      <c r="F98" s="91"/>
      <c r="G98" s="92"/>
      <c r="H98" s="93"/>
      <c r="I98" s="93"/>
      <c r="J98" s="93"/>
      <c r="K98" s="93"/>
      <c r="L98" s="92"/>
      <c r="M98" s="86"/>
      <c r="N98" s="92"/>
      <c r="O98" s="92"/>
      <c r="P98" s="95"/>
      <c r="Q98" s="95"/>
      <c r="R98" s="349"/>
      <c r="S98" s="67"/>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13"/>
    </row>
    <row r="99" spans="1:47" s="90" customFormat="1" ht="12" customHeight="1" x14ac:dyDescent="0.15">
      <c r="A99" s="70"/>
      <c r="B99" s="70"/>
      <c r="C99" s="70"/>
      <c r="D99" s="70"/>
      <c r="E99" s="70"/>
      <c r="F99" s="91"/>
      <c r="G99" s="92"/>
      <c r="H99" s="93"/>
      <c r="I99" s="93"/>
      <c r="J99" s="93"/>
      <c r="K99" s="93"/>
      <c r="L99" s="92"/>
      <c r="M99" s="86"/>
      <c r="N99" s="92"/>
      <c r="O99" s="92"/>
      <c r="P99" s="95"/>
      <c r="Q99" s="95"/>
      <c r="R99" s="89"/>
      <c r="S99" s="67"/>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13"/>
    </row>
    <row r="100" spans="1:47" s="90" customFormat="1" ht="12" customHeight="1" x14ac:dyDescent="0.15">
      <c r="A100" s="70"/>
      <c r="B100" s="70"/>
      <c r="C100" s="164" t="s">
        <v>3312</v>
      </c>
      <c r="D100" s="70"/>
      <c r="E100" s="70"/>
      <c r="F100" s="91"/>
      <c r="G100" s="92"/>
      <c r="H100" s="93"/>
      <c r="I100" s="93"/>
      <c r="J100" s="93"/>
      <c r="K100" s="93"/>
      <c r="L100" s="92"/>
      <c r="M100" s="96"/>
      <c r="N100" s="96"/>
      <c r="O100" s="96"/>
      <c r="P100" s="95"/>
      <c r="Q100" s="95"/>
      <c r="R100" s="89"/>
      <c r="S100" s="67"/>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13"/>
    </row>
    <row r="101" spans="1:47" s="90" customFormat="1" ht="12" customHeight="1" x14ac:dyDescent="0.15">
      <c r="A101" s="70"/>
      <c r="B101" s="70"/>
      <c r="C101" s="70"/>
      <c r="D101" s="70"/>
      <c r="E101" s="70"/>
      <c r="F101" s="91"/>
      <c r="G101" s="92"/>
      <c r="H101" s="93"/>
      <c r="I101" s="93"/>
      <c r="J101" s="93"/>
      <c r="K101" s="93"/>
      <c r="L101" s="92"/>
      <c r="M101" s="86"/>
      <c r="N101" s="92"/>
      <c r="O101" s="92"/>
      <c r="P101" s="95"/>
      <c r="Q101" s="95"/>
      <c r="R101" s="89"/>
      <c r="S101" s="67"/>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13"/>
    </row>
    <row r="102" spans="1:47" s="90" customFormat="1" x14ac:dyDescent="0.15">
      <c r="A102" s="70"/>
      <c r="B102" s="70"/>
      <c r="C102" s="70"/>
      <c r="D102" s="70"/>
      <c r="E102" s="70"/>
      <c r="F102" s="91"/>
      <c r="G102" s="92"/>
      <c r="H102" s="93"/>
      <c r="I102" s="93"/>
      <c r="J102" s="93"/>
      <c r="K102" s="93"/>
      <c r="L102" s="92"/>
      <c r="M102" s="92"/>
      <c r="N102" s="92"/>
      <c r="O102" s="92"/>
      <c r="P102" s="95"/>
      <c r="Q102" s="95"/>
      <c r="R102" s="89"/>
      <c r="S102" s="67"/>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13"/>
    </row>
    <row r="103" spans="1:47" s="90" customFormat="1" x14ac:dyDescent="0.15">
      <c r="A103" s="70"/>
      <c r="B103" s="51"/>
      <c r="C103" s="51"/>
      <c r="D103" s="51"/>
      <c r="E103" s="51"/>
      <c r="F103" s="91"/>
      <c r="G103" s="86"/>
      <c r="H103" s="87"/>
      <c r="I103" s="87"/>
      <c r="J103" s="87"/>
      <c r="K103" s="87"/>
      <c r="L103" s="86"/>
      <c r="M103" s="97"/>
      <c r="N103" s="97"/>
      <c r="O103" s="97"/>
      <c r="P103" s="349"/>
      <c r="Q103" s="89"/>
      <c r="R103" s="89"/>
      <c r="S103" s="55"/>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13"/>
    </row>
    <row r="104" spans="1:47" s="90" customFormat="1" x14ac:dyDescent="0.15">
      <c r="A104" s="70"/>
      <c r="B104" s="70"/>
      <c r="C104" s="70"/>
      <c r="D104" s="70"/>
      <c r="E104" s="70"/>
      <c r="F104" s="91"/>
      <c r="G104" s="92"/>
      <c r="H104" s="93"/>
      <c r="I104" s="93"/>
      <c r="J104" s="93"/>
      <c r="K104" s="93"/>
      <c r="L104" s="92"/>
      <c r="M104" s="98"/>
      <c r="N104" s="98"/>
      <c r="O104" s="98"/>
      <c r="P104" s="95"/>
      <c r="Q104" s="95"/>
      <c r="R104" s="89"/>
      <c r="S104" s="67"/>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13"/>
    </row>
    <row r="105" spans="1:47" s="90" customFormat="1" x14ac:dyDescent="0.15">
      <c r="A105" s="70"/>
      <c r="B105" s="70"/>
      <c r="C105" s="70"/>
      <c r="D105" s="70"/>
      <c r="E105" s="70"/>
      <c r="F105" s="91"/>
      <c r="G105" s="92"/>
      <c r="H105" s="93"/>
      <c r="I105" s="93"/>
      <c r="J105" s="93"/>
      <c r="K105" s="93"/>
      <c r="L105" s="92"/>
      <c r="M105" s="86"/>
      <c r="N105" s="92"/>
      <c r="O105" s="92"/>
      <c r="P105" s="95"/>
      <c r="Q105" s="95"/>
      <c r="R105" s="89"/>
      <c r="S105" s="67"/>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13"/>
    </row>
    <row r="106" spans="1:47" s="90" customFormat="1" x14ac:dyDescent="0.15">
      <c r="A106" s="51"/>
      <c r="B106" s="70"/>
      <c r="C106" s="70"/>
      <c r="D106" s="70"/>
      <c r="E106" s="70"/>
      <c r="F106" s="91"/>
      <c r="G106" s="92"/>
      <c r="H106" s="93"/>
      <c r="I106" s="93"/>
      <c r="J106" s="93"/>
      <c r="K106" s="93"/>
      <c r="L106" s="92"/>
      <c r="M106" s="99"/>
      <c r="N106" s="99"/>
      <c r="O106" s="99"/>
      <c r="P106" s="95"/>
      <c r="Q106" s="95"/>
      <c r="R106" s="89"/>
      <c r="S106" s="67"/>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13"/>
    </row>
    <row r="107" spans="1:47" s="90" customFormat="1" x14ac:dyDescent="0.15">
      <c r="A107" s="70"/>
      <c r="B107" s="70"/>
      <c r="C107" s="70"/>
      <c r="D107" s="70"/>
      <c r="E107" s="70"/>
      <c r="F107" s="91"/>
      <c r="G107" s="92"/>
      <c r="H107" s="93"/>
      <c r="I107" s="93"/>
      <c r="J107" s="93"/>
      <c r="K107" s="93"/>
      <c r="L107" s="92"/>
      <c r="M107" s="100"/>
      <c r="N107" s="100"/>
      <c r="O107" s="100"/>
      <c r="P107" s="95"/>
      <c r="Q107" s="95"/>
      <c r="R107" s="89"/>
      <c r="S107" s="67"/>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13"/>
    </row>
    <row r="108" spans="1:47" s="90" customFormat="1" x14ac:dyDescent="0.15">
      <c r="A108" s="70"/>
      <c r="B108" s="70"/>
      <c r="C108" s="70"/>
      <c r="D108" s="70"/>
      <c r="E108" s="70"/>
      <c r="F108" s="91"/>
      <c r="G108" s="92"/>
      <c r="H108" s="93"/>
      <c r="I108" s="93"/>
      <c r="J108" s="93"/>
      <c r="K108" s="93"/>
      <c r="L108" s="92"/>
      <c r="M108" s="100"/>
      <c r="N108" s="100"/>
      <c r="O108" s="100"/>
      <c r="P108" s="95"/>
      <c r="Q108" s="95"/>
      <c r="R108" s="89"/>
      <c r="S108" s="67"/>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13"/>
    </row>
    <row r="109" spans="1:47" s="90" customFormat="1" x14ac:dyDescent="0.15">
      <c r="A109" s="70"/>
      <c r="B109" s="70"/>
      <c r="C109" s="70"/>
      <c r="D109" s="70"/>
      <c r="E109" s="70"/>
      <c r="F109" s="91"/>
      <c r="G109" s="92"/>
      <c r="H109" s="93"/>
      <c r="I109" s="93"/>
      <c r="J109" s="93"/>
      <c r="K109" s="93"/>
      <c r="L109" s="92"/>
      <c r="M109" s="86"/>
      <c r="N109" s="92"/>
      <c r="O109" s="92"/>
      <c r="P109" s="95"/>
      <c r="Q109" s="95"/>
      <c r="R109" s="89"/>
      <c r="S109" s="67"/>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13"/>
    </row>
    <row r="110" spans="1:47" s="90" customFormat="1" x14ac:dyDescent="0.15">
      <c r="A110" s="70"/>
      <c r="B110" s="70"/>
      <c r="C110" s="70"/>
      <c r="D110" s="70"/>
      <c r="E110" s="70"/>
      <c r="F110" s="91"/>
      <c r="G110" s="92"/>
      <c r="H110" s="93"/>
      <c r="I110" s="93"/>
      <c r="J110" s="93"/>
      <c r="K110" s="93"/>
      <c r="L110" s="92"/>
      <c r="M110" s="86"/>
      <c r="N110" s="92"/>
      <c r="O110" s="92"/>
      <c r="P110" s="95"/>
      <c r="Q110" s="95"/>
      <c r="R110" s="89"/>
      <c r="S110" s="67"/>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13"/>
    </row>
    <row r="111" spans="1:47" s="90" customFormat="1" x14ac:dyDescent="0.15">
      <c r="A111" s="70"/>
      <c r="B111" s="70"/>
      <c r="C111" s="70"/>
      <c r="D111" s="70"/>
      <c r="E111" s="70"/>
      <c r="F111" s="91"/>
      <c r="G111" s="92"/>
      <c r="H111" s="93"/>
      <c r="I111" s="93"/>
      <c r="J111" s="93"/>
      <c r="K111" s="93"/>
      <c r="L111" s="92"/>
      <c r="M111" s="86"/>
      <c r="N111" s="92"/>
      <c r="O111" s="92"/>
      <c r="P111" s="95"/>
      <c r="Q111" s="95"/>
      <c r="R111" s="89"/>
      <c r="S111" s="67"/>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13"/>
    </row>
    <row r="112" spans="1:47" s="90" customFormat="1" x14ac:dyDescent="0.15">
      <c r="A112" s="70"/>
      <c r="B112" s="70"/>
      <c r="C112" s="70"/>
      <c r="D112" s="70"/>
      <c r="E112" s="70"/>
      <c r="F112" s="91"/>
      <c r="G112" s="92"/>
      <c r="H112" s="93"/>
      <c r="I112" s="93"/>
      <c r="J112" s="93"/>
      <c r="K112" s="93"/>
      <c r="L112" s="92"/>
      <c r="M112" s="86"/>
      <c r="N112" s="92"/>
      <c r="O112" s="92"/>
      <c r="P112" s="95"/>
      <c r="Q112" s="95"/>
      <c r="R112" s="89"/>
      <c r="S112" s="67"/>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13"/>
    </row>
    <row r="113" spans="1:47" s="90" customFormat="1" x14ac:dyDescent="0.15">
      <c r="A113" s="70"/>
      <c r="B113" s="70"/>
      <c r="C113" s="70"/>
      <c r="D113" s="70"/>
      <c r="E113" s="70"/>
      <c r="F113" s="91"/>
      <c r="G113" s="92"/>
      <c r="H113" s="93"/>
      <c r="I113" s="93"/>
      <c r="J113" s="93"/>
      <c r="K113" s="93"/>
      <c r="L113" s="92"/>
      <c r="M113" s="100"/>
      <c r="N113" s="100"/>
      <c r="O113" s="100"/>
      <c r="P113" s="95"/>
      <c r="Q113" s="95"/>
      <c r="R113" s="89"/>
      <c r="S113" s="67"/>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13"/>
    </row>
    <row r="114" spans="1:47" s="90" customFormat="1" x14ac:dyDescent="0.15">
      <c r="A114" s="70"/>
      <c r="B114" s="70"/>
      <c r="C114" s="70"/>
      <c r="D114" s="70"/>
      <c r="E114" s="70"/>
      <c r="F114" s="91"/>
      <c r="G114" s="92"/>
      <c r="H114" s="93"/>
      <c r="I114" s="93"/>
      <c r="J114" s="93"/>
      <c r="K114" s="93"/>
      <c r="L114" s="92"/>
      <c r="M114" s="100"/>
      <c r="N114" s="100"/>
      <c r="O114" s="100"/>
      <c r="P114" s="95"/>
      <c r="Q114" s="95"/>
      <c r="R114" s="89"/>
      <c r="S114" s="67"/>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13"/>
    </row>
    <row r="115" spans="1:47" s="90" customFormat="1" x14ac:dyDescent="0.15">
      <c r="A115" s="70"/>
      <c r="B115" s="70"/>
      <c r="C115" s="70"/>
      <c r="D115" s="70"/>
      <c r="E115" s="70"/>
      <c r="F115" s="91"/>
      <c r="G115" s="92"/>
      <c r="H115" s="93"/>
      <c r="I115" s="93"/>
      <c r="J115" s="93"/>
      <c r="K115" s="93"/>
      <c r="L115" s="92"/>
      <c r="M115" s="100"/>
      <c r="N115" s="100"/>
      <c r="O115" s="100"/>
      <c r="P115" s="95"/>
      <c r="Q115" s="95"/>
      <c r="R115" s="89"/>
      <c r="S115" s="67"/>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13"/>
    </row>
    <row r="116" spans="1:47" s="90" customFormat="1" x14ac:dyDescent="0.15">
      <c r="A116" s="70"/>
      <c r="B116" s="70"/>
      <c r="C116" s="70"/>
      <c r="D116" s="70"/>
      <c r="E116" s="70"/>
      <c r="F116" s="91"/>
      <c r="G116" s="92"/>
      <c r="H116" s="93"/>
      <c r="I116" s="93"/>
      <c r="J116" s="93"/>
      <c r="K116" s="93"/>
      <c r="L116" s="92"/>
      <c r="M116" s="100"/>
      <c r="N116" s="100"/>
      <c r="O116" s="100"/>
      <c r="P116" s="95"/>
      <c r="Q116" s="95"/>
      <c r="R116" s="89"/>
      <c r="S116" s="67"/>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13"/>
    </row>
    <row r="117" spans="1:47" s="90" customFormat="1" x14ac:dyDescent="0.15">
      <c r="A117" s="70"/>
      <c r="B117" s="70"/>
      <c r="C117" s="70"/>
      <c r="D117" s="70"/>
      <c r="E117" s="70"/>
      <c r="F117" s="91"/>
      <c r="G117" s="92"/>
      <c r="H117" s="93"/>
      <c r="I117" s="93"/>
      <c r="J117" s="93"/>
      <c r="K117" s="93"/>
      <c r="L117" s="92"/>
      <c r="M117" s="100"/>
      <c r="N117" s="100"/>
      <c r="O117" s="100"/>
      <c r="P117" s="95"/>
      <c r="Q117" s="95"/>
      <c r="R117" s="89"/>
      <c r="S117" s="67"/>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13"/>
    </row>
    <row r="118" spans="1:47" s="90" customFormat="1" x14ac:dyDescent="0.15">
      <c r="A118" s="70"/>
      <c r="B118" s="70"/>
      <c r="C118" s="70"/>
      <c r="D118" s="70"/>
      <c r="E118" s="70"/>
      <c r="F118" s="91"/>
      <c r="G118" s="92"/>
      <c r="H118" s="93"/>
      <c r="I118" s="93"/>
      <c r="J118" s="93"/>
      <c r="K118" s="93"/>
      <c r="L118" s="92"/>
      <c r="M118" s="100"/>
      <c r="N118" s="100"/>
      <c r="O118" s="100"/>
      <c r="P118" s="95"/>
      <c r="Q118" s="95"/>
      <c r="R118" s="89"/>
      <c r="S118" s="67"/>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13"/>
    </row>
    <row r="119" spans="1:47" s="90" customFormat="1" x14ac:dyDescent="0.15">
      <c r="A119" s="70"/>
      <c r="B119" s="70"/>
      <c r="C119" s="70"/>
      <c r="D119" s="70"/>
      <c r="E119" s="70"/>
      <c r="F119" s="91"/>
      <c r="G119" s="92"/>
      <c r="H119" s="93"/>
      <c r="I119" s="93"/>
      <c r="J119" s="93"/>
      <c r="K119" s="93"/>
      <c r="L119" s="92"/>
      <c r="M119" s="100"/>
      <c r="N119" s="100"/>
      <c r="O119" s="100"/>
      <c r="P119" s="95"/>
      <c r="Q119" s="95"/>
      <c r="R119" s="89"/>
      <c r="S119" s="67"/>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13"/>
    </row>
    <row r="120" spans="1:47" s="90" customFormat="1" x14ac:dyDescent="0.15">
      <c r="A120" s="70"/>
      <c r="B120" s="70"/>
      <c r="C120" s="70"/>
      <c r="D120" s="70"/>
      <c r="E120" s="70"/>
      <c r="F120" s="91"/>
      <c r="G120" s="92"/>
      <c r="H120" s="93"/>
      <c r="I120" s="93"/>
      <c r="J120" s="93"/>
      <c r="K120" s="93"/>
      <c r="L120" s="92"/>
      <c r="M120" s="100"/>
      <c r="N120" s="100"/>
      <c r="O120" s="100"/>
      <c r="P120" s="95"/>
      <c r="Q120" s="95"/>
      <c r="R120" s="89"/>
      <c r="S120" s="67"/>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13"/>
    </row>
    <row r="121" spans="1:47" s="90" customFormat="1" x14ac:dyDescent="0.15">
      <c r="A121" s="70"/>
      <c r="B121" s="70"/>
      <c r="C121" s="70"/>
      <c r="D121" s="70"/>
      <c r="E121" s="70"/>
      <c r="F121" s="91"/>
      <c r="G121" s="92"/>
      <c r="H121" s="93"/>
      <c r="I121" s="93"/>
      <c r="J121" s="93"/>
      <c r="K121" s="93"/>
      <c r="L121" s="92"/>
      <c r="M121" s="100"/>
      <c r="N121" s="100"/>
      <c r="O121" s="100"/>
      <c r="P121" s="95"/>
      <c r="Q121" s="95"/>
      <c r="R121" s="89"/>
      <c r="S121" s="67"/>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13"/>
    </row>
    <row r="122" spans="1:47" s="90" customFormat="1" x14ac:dyDescent="0.15">
      <c r="A122" s="70"/>
      <c r="B122" s="70"/>
      <c r="C122" s="70"/>
      <c r="D122" s="70"/>
      <c r="E122" s="70"/>
      <c r="F122" s="91"/>
      <c r="G122" s="92"/>
      <c r="H122" s="93"/>
      <c r="I122" s="93"/>
      <c r="J122" s="93"/>
      <c r="K122" s="93"/>
      <c r="L122" s="92"/>
      <c r="M122" s="100"/>
      <c r="N122" s="100"/>
      <c r="O122" s="100"/>
      <c r="P122" s="95"/>
      <c r="Q122" s="95"/>
      <c r="R122" s="89"/>
      <c r="S122" s="67"/>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13"/>
    </row>
    <row r="123" spans="1:47" s="90" customFormat="1" x14ac:dyDescent="0.15">
      <c r="A123" s="70"/>
      <c r="B123" s="51"/>
      <c r="C123" s="51"/>
      <c r="D123" s="51"/>
      <c r="E123" s="51"/>
      <c r="F123" s="85"/>
      <c r="G123" s="86"/>
      <c r="H123" s="87"/>
      <c r="I123" s="87"/>
      <c r="J123" s="87"/>
      <c r="K123" s="87"/>
      <c r="L123" s="86"/>
      <c r="M123" s="100"/>
      <c r="N123" s="100"/>
      <c r="O123" s="100"/>
      <c r="P123" s="349"/>
      <c r="Q123" s="89"/>
      <c r="R123" s="89"/>
      <c r="S123" s="55"/>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13"/>
    </row>
    <row r="124" spans="1:47" s="90" customFormat="1" x14ac:dyDescent="0.15">
      <c r="A124" s="70"/>
      <c r="B124" s="70"/>
      <c r="C124" s="70"/>
      <c r="D124" s="70"/>
      <c r="E124" s="70"/>
      <c r="F124" s="91"/>
      <c r="G124" s="92"/>
      <c r="H124" s="93"/>
      <c r="I124" s="93"/>
      <c r="J124" s="93"/>
      <c r="K124" s="93"/>
      <c r="L124" s="92"/>
      <c r="M124" s="100"/>
      <c r="N124" s="100"/>
      <c r="O124" s="100"/>
      <c r="P124" s="95"/>
      <c r="Q124" s="95"/>
      <c r="R124" s="89"/>
      <c r="S124" s="67"/>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13"/>
    </row>
    <row r="125" spans="1:47" s="90" customFormat="1" x14ac:dyDescent="0.15">
      <c r="A125" s="70"/>
      <c r="B125" s="70"/>
      <c r="C125" s="70"/>
      <c r="D125" s="70"/>
      <c r="E125" s="70"/>
      <c r="F125" s="91"/>
      <c r="G125" s="92"/>
      <c r="H125" s="93"/>
      <c r="I125" s="93"/>
      <c r="J125" s="93"/>
      <c r="K125" s="93"/>
      <c r="L125" s="92"/>
      <c r="M125" s="100"/>
      <c r="N125" s="100"/>
      <c r="O125" s="100"/>
      <c r="P125" s="95"/>
      <c r="Q125" s="95"/>
      <c r="R125" s="89"/>
      <c r="S125" s="67"/>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13"/>
    </row>
    <row r="126" spans="1:47" s="90" customFormat="1" x14ac:dyDescent="0.15">
      <c r="A126" s="51"/>
      <c r="B126" s="70"/>
      <c r="C126" s="70"/>
      <c r="D126" s="70"/>
      <c r="E126" s="70"/>
      <c r="F126" s="91"/>
      <c r="G126" s="92"/>
      <c r="H126" s="93"/>
      <c r="I126" s="93"/>
      <c r="J126" s="93"/>
      <c r="K126" s="93"/>
      <c r="L126" s="92"/>
      <c r="M126" s="100"/>
      <c r="N126" s="100"/>
      <c r="O126" s="100"/>
      <c r="P126" s="95"/>
      <c r="Q126" s="95"/>
      <c r="R126" s="89"/>
      <c r="S126" s="67"/>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13"/>
    </row>
    <row r="127" spans="1:47" s="90" customFormat="1" x14ac:dyDescent="0.15">
      <c r="A127" s="70"/>
      <c r="B127" s="70"/>
      <c r="C127" s="70"/>
      <c r="D127" s="70"/>
      <c r="E127" s="70"/>
      <c r="F127" s="91"/>
      <c r="G127" s="92"/>
      <c r="H127" s="93"/>
      <c r="I127" s="93"/>
      <c r="J127" s="93"/>
      <c r="K127" s="93"/>
      <c r="L127" s="92"/>
      <c r="M127" s="100"/>
      <c r="N127" s="100"/>
      <c r="O127" s="100"/>
      <c r="P127" s="95"/>
      <c r="Q127" s="95"/>
      <c r="R127" s="89"/>
      <c r="S127" s="67"/>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13"/>
    </row>
    <row r="128" spans="1:47" s="90" customFormat="1" x14ac:dyDescent="0.15">
      <c r="A128" s="70"/>
      <c r="B128" s="70"/>
      <c r="C128" s="70"/>
      <c r="D128" s="70"/>
      <c r="E128" s="70"/>
      <c r="F128" s="91"/>
      <c r="G128" s="92"/>
      <c r="H128" s="93"/>
      <c r="I128" s="93"/>
      <c r="J128" s="93"/>
      <c r="K128" s="93"/>
      <c r="L128" s="92"/>
      <c r="M128" s="100"/>
      <c r="N128" s="100"/>
      <c r="O128" s="100"/>
      <c r="P128" s="95"/>
      <c r="Q128" s="95"/>
      <c r="R128" s="89"/>
      <c r="S128" s="67"/>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13"/>
    </row>
    <row r="129" spans="1:58" s="14" customFormat="1" x14ac:dyDescent="0.15">
      <c r="A129" s="70"/>
      <c r="B129" s="6"/>
      <c r="C129" s="6"/>
      <c r="D129" s="6"/>
      <c r="E129" s="6"/>
      <c r="F129" s="101"/>
      <c r="G129" s="102"/>
      <c r="H129" s="103"/>
      <c r="I129" s="103"/>
      <c r="J129" s="103"/>
      <c r="K129" s="103"/>
      <c r="L129" s="99"/>
      <c r="M129" s="21"/>
      <c r="N129" s="21"/>
      <c r="O129" s="21"/>
      <c r="P129" s="149"/>
      <c r="Q129" s="103"/>
      <c r="R129" s="6"/>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row>
    <row r="130" spans="1:58" s="14" customFormat="1" x14ac:dyDescent="0.15">
      <c r="A130" s="70"/>
      <c r="B130" s="6"/>
      <c r="C130" s="6"/>
      <c r="D130" s="6"/>
      <c r="E130" s="6"/>
      <c r="F130" s="101"/>
      <c r="G130" s="102"/>
      <c r="H130" s="103"/>
      <c r="I130" s="103"/>
      <c r="J130" s="103"/>
      <c r="K130" s="103"/>
      <c r="L130" s="99"/>
      <c r="M130" s="21"/>
      <c r="N130" s="21"/>
      <c r="O130" s="21"/>
      <c r="P130" s="149"/>
      <c r="Q130" s="103"/>
      <c r="R130" s="6"/>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row>
    <row r="131" spans="1:58" s="14" customFormat="1" x14ac:dyDescent="0.15">
      <c r="A131" s="70"/>
      <c r="B131" s="6"/>
      <c r="C131" s="6"/>
      <c r="D131" s="6"/>
      <c r="E131" s="6"/>
      <c r="F131" s="101"/>
      <c r="G131" s="102"/>
      <c r="H131" s="103"/>
      <c r="I131" s="103"/>
      <c r="J131" s="103"/>
      <c r="K131" s="103"/>
      <c r="L131" s="99"/>
      <c r="M131" s="21"/>
      <c r="N131" s="21"/>
      <c r="O131" s="21"/>
      <c r="P131" s="149"/>
      <c r="Q131" s="103"/>
      <c r="R131" s="6"/>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row>
    <row r="132" spans="1:58" s="14" customFormat="1" x14ac:dyDescent="0.15">
      <c r="A132" s="6"/>
      <c r="B132" s="6"/>
      <c r="C132" s="6"/>
      <c r="D132" s="6"/>
      <c r="E132" s="6"/>
      <c r="F132" s="101"/>
      <c r="G132" s="102"/>
      <c r="H132" s="103"/>
      <c r="I132" s="103"/>
      <c r="J132" s="103"/>
      <c r="K132" s="103"/>
      <c r="M132" s="21"/>
      <c r="N132" s="21"/>
      <c r="O132" s="21"/>
      <c r="P132" s="7"/>
      <c r="Q132" s="6"/>
      <c r="R132" s="6"/>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row>
    <row r="133" spans="1:58" s="14" customFormat="1" x14ac:dyDescent="0.15">
      <c r="A133" s="6"/>
      <c r="B133" s="6"/>
      <c r="C133" s="6"/>
      <c r="D133" s="6"/>
      <c r="E133" s="6"/>
      <c r="F133" s="101"/>
      <c r="G133" s="102"/>
      <c r="H133" s="103"/>
      <c r="I133" s="103"/>
      <c r="J133" s="103"/>
      <c r="K133" s="103"/>
      <c r="M133" s="21"/>
      <c r="N133" s="21"/>
      <c r="O133" s="21"/>
      <c r="P133" s="7"/>
      <c r="Q133" s="6"/>
      <c r="R133" s="6"/>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row>
    <row r="134" spans="1:58" s="14" customFormat="1" x14ac:dyDescent="0.15">
      <c r="A134" s="6"/>
      <c r="B134" s="6"/>
      <c r="C134" s="6"/>
      <c r="D134" s="6"/>
      <c r="E134" s="6"/>
      <c r="F134" s="101"/>
      <c r="G134" s="102"/>
      <c r="H134" s="103"/>
      <c r="I134" s="103"/>
      <c r="J134" s="103"/>
      <c r="K134" s="103"/>
      <c r="M134" s="21"/>
      <c r="N134" s="21"/>
      <c r="O134" s="21"/>
      <c r="P134" s="7"/>
      <c r="Q134" s="6"/>
      <c r="R134" s="6"/>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row>
    <row r="135" spans="1:58" s="14" customFormat="1" x14ac:dyDescent="0.15">
      <c r="A135" s="6"/>
      <c r="B135" s="6"/>
      <c r="C135" s="6"/>
      <c r="D135" s="6"/>
      <c r="E135" s="6"/>
      <c r="F135" s="101"/>
      <c r="G135" s="102"/>
      <c r="H135" s="103"/>
      <c r="I135" s="103"/>
      <c r="J135" s="103"/>
      <c r="K135" s="103"/>
      <c r="L135" s="21"/>
      <c r="M135" s="21"/>
      <c r="N135" s="21"/>
      <c r="O135" s="21"/>
      <c r="P135" s="7"/>
      <c r="Q135" s="75"/>
      <c r="R135" s="6"/>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row>
    <row r="136" spans="1:58" s="14" customFormat="1" x14ac:dyDescent="0.15">
      <c r="A136" s="6"/>
      <c r="B136" s="6"/>
      <c r="C136" s="6"/>
      <c r="D136" s="6"/>
      <c r="E136" s="6"/>
      <c r="F136" s="101"/>
      <c r="G136" s="102"/>
      <c r="H136" s="104"/>
      <c r="I136" s="104"/>
      <c r="J136" s="104"/>
      <c r="K136" s="104"/>
      <c r="L136" s="21"/>
      <c r="M136" s="21"/>
      <c r="N136" s="21"/>
      <c r="O136" s="21"/>
      <c r="P136" s="7"/>
      <c r="Q136" s="75"/>
      <c r="R136" s="6"/>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row>
    <row r="137" spans="1:58" s="14" customFormat="1" x14ac:dyDescent="0.15">
      <c r="A137" s="6"/>
      <c r="B137" s="6"/>
      <c r="C137" s="6"/>
      <c r="D137" s="6"/>
      <c r="E137" s="6"/>
      <c r="F137" s="101"/>
      <c r="G137" s="102"/>
      <c r="H137" s="103"/>
      <c r="I137" s="103"/>
      <c r="J137" s="103"/>
      <c r="K137" s="103"/>
      <c r="L137" s="21"/>
      <c r="M137" s="21"/>
      <c r="N137" s="21"/>
      <c r="O137" s="21"/>
      <c r="P137" s="7"/>
      <c r="Q137" s="75"/>
      <c r="R137" s="6"/>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row>
    <row r="138" spans="1:58" s="14" customFormat="1" x14ac:dyDescent="0.15">
      <c r="A138" s="6"/>
      <c r="B138" s="6"/>
      <c r="C138" s="6"/>
      <c r="D138" s="6"/>
      <c r="E138" s="6"/>
      <c r="F138" s="101"/>
      <c r="G138" s="102"/>
      <c r="H138" s="104"/>
      <c r="I138" s="104"/>
      <c r="J138" s="104"/>
      <c r="K138" s="104"/>
      <c r="L138" s="21"/>
      <c r="M138" s="21"/>
      <c r="N138" s="21"/>
      <c r="O138" s="21"/>
      <c r="P138" s="7"/>
      <c r="Q138" s="75"/>
      <c r="R138" s="6"/>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row>
    <row r="139" spans="1:58" s="14" customFormat="1" x14ac:dyDescent="0.15">
      <c r="A139" s="6"/>
      <c r="B139" s="6"/>
      <c r="C139" s="6"/>
      <c r="D139" s="6"/>
      <c r="E139" s="6"/>
      <c r="F139" s="101"/>
      <c r="G139" s="102"/>
      <c r="H139" s="104"/>
      <c r="I139" s="104"/>
      <c r="J139" s="104"/>
      <c r="K139" s="104"/>
      <c r="L139" s="21"/>
      <c r="M139" s="21"/>
      <c r="N139" s="21"/>
      <c r="O139" s="21"/>
      <c r="P139" s="7"/>
      <c r="Q139" s="75"/>
      <c r="R139" s="6"/>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row>
    <row r="140" spans="1:58" s="14" customFormat="1" x14ac:dyDescent="0.15">
      <c r="A140" s="6"/>
      <c r="B140" s="6"/>
      <c r="C140" s="6"/>
      <c r="D140" s="6"/>
      <c r="E140" s="6"/>
      <c r="F140" s="101"/>
      <c r="G140" s="102"/>
      <c r="H140" s="104"/>
      <c r="I140" s="104"/>
      <c r="J140" s="104"/>
      <c r="K140" s="104"/>
      <c r="L140" s="21"/>
      <c r="M140" s="21"/>
      <c r="N140" s="21"/>
      <c r="O140" s="21"/>
      <c r="P140" s="7"/>
      <c r="Q140" s="75"/>
      <c r="R140" s="6"/>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row>
    <row r="141" spans="1:58" s="14" customFormat="1" x14ac:dyDescent="0.15">
      <c r="A141" s="6"/>
      <c r="B141" s="6"/>
      <c r="C141" s="6"/>
      <c r="D141" s="6"/>
      <c r="E141" s="6"/>
      <c r="F141" s="101"/>
      <c r="G141" s="102"/>
      <c r="H141" s="104"/>
      <c r="I141" s="104"/>
      <c r="J141" s="104"/>
      <c r="K141" s="104"/>
      <c r="L141" s="21"/>
      <c r="M141" s="21"/>
      <c r="N141" s="21"/>
      <c r="O141" s="21"/>
      <c r="P141" s="7"/>
      <c r="Q141" s="75"/>
      <c r="R141" s="6"/>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row>
    <row r="142" spans="1:58" s="14" customFormat="1" x14ac:dyDescent="0.15">
      <c r="A142" s="6"/>
      <c r="B142" s="6"/>
      <c r="C142" s="6"/>
      <c r="D142" s="6"/>
      <c r="E142" s="6"/>
      <c r="F142" s="101"/>
      <c r="G142" s="102"/>
      <c r="H142" s="104"/>
      <c r="I142" s="104"/>
      <c r="J142" s="104"/>
      <c r="K142" s="104"/>
      <c r="L142" s="21"/>
      <c r="M142" s="21"/>
      <c r="N142" s="21"/>
      <c r="O142" s="21"/>
      <c r="P142" s="7"/>
      <c r="Q142" s="75"/>
      <c r="R142" s="6"/>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row>
    <row r="143" spans="1:58" s="14" customFormat="1" x14ac:dyDescent="0.15">
      <c r="A143" s="6"/>
      <c r="B143" s="6"/>
      <c r="C143" s="6"/>
      <c r="D143" s="6"/>
      <c r="E143" s="6"/>
      <c r="F143" s="101"/>
      <c r="G143" s="102"/>
      <c r="H143" s="104"/>
      <c r="I143" s="104"/>
      <c r="J143" s="104"/>
      <c r="K143" s="104"/>
      <c r="L143" s="21"/>
      <c r="M143" s="21"/>
      <c r="N143" s="21"/>
      <c r="O143" s="21"/>
      <c r="P143" s="7"/>
      <c r="Q143" s="75"/>
      <c r="R143" s="6"/>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row>
    <row r="144" spans="1:58" s="14" customFormat="1" x14ac:dyDescent="0.15">
      <c r="A144" s="6"/>
      <c r="B144" s="6"/>
      <c r="C144" s="6"/>
      <c r="D144" s="6"/>
      <c r="E144" s="6"/>
      <c r="F144" s="101"/>
      <c r="G144" s="102"/>
      <c r="H144" s="104"/>
      <c r="I144" s="104"/>
      <c r="J144" s="104"/>
      <c r="K144" s="104"/>
      <c r="L144" s="21"/>
      <c r="M144" s="21"/>
      <c r="N144" s="21"/>
      <c r="O144" s="21"/>
      <c r="P144" s="7"/>
      <c r="Q144" s="75"/>
      <c r="R144" s="6"/>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row>
    <row r="145" spans="1:58" s="14" customFormat="1" x14ac:dyDescent="0.15">
      <c r="A145" s="6"/>
      <c r="B145" s="6"/>
      <c r="C145" s="6"/>
      <c r="D145" s="6"/>
      <c r="E145" s="6"/>
      <c r="F145" s="101"/>
      <c r="G145" s="102"/>
      <c r="H145" s="103"/>
      <c r="I145" s="103"/>
      <c r="J145" s="103"/>
      <c r="K145" s="103"/>
      <c r="L145" s="21"/>
      <c r="M145" s="21"/>
      <c r="N145" s="21"/>
      <c r="O145" s="21"/>
      <c r="P145" s="7"/>
      <c r="Q145" s="75"/>
      <c r="R145" s="75"/>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row>
    <row r="146" spans="1:58" s="14" customFormat="1" x14ac:dyDescent="0.15">
      <c r="A146" s="6"/>
      <c r="B146" s="6"/>
      <c r="C146" s="6"/>
      <c r="D146" s="6"/>
      <c r="E146" s="6"/>
      <c r="F146" s="101"/>
      <c r="G146" s="102"/>
      <c r="H146" s="103"/>
      <c r="I146" s="103"/>
      <c r="J146" s="103"/>
      <c r="K146" s="103"/>
      <c r="L146" s="21"/>
      <c r="M146" s="21"/>
      <c r="N146" s="21"/>
      <c r="O146" s="21"/>
      <c r="P146" s="7"/>
      <c r="Q146" s="75"/>
      <c r="R146" s="6"/>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row>
    <row r="147" spans="1:58" s="14" customFormat="1" x14ac:dyDescent="0.15">
      <c r="A147" s="6"/>
      <c r="B147" s="6"/>
      <c r="C147" s="6"/>
      <c r="D147" s="6"/>
      <c r="E147" s="6"/>
      <c r="F147" s="101"/>
      <c r="G147" s="102"/>
      <c r="H147" s="103"/>
      <c r="I147" s="103"/>
      <c r="J147" s="103"/>
      <c r="K147" s="103"/>
      <c r="L147" s="21"/>
      <c r="M147" s="21"/>
      <c r="N147" s="21"/>
      <c r="O147" s="21"/>
      <c r="P147" s="7"/>
      <c r="Q147" s="75"/>
      <c r="R147" s="6"/>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row>
    <row r="148" spans="1:58" s="14" customFormat="1" x14ac:dyDescent="0.15">
      <c r="A148" s="6"/>
      <c r="B148" s="6"/>
      <c r="C148" s="6"/>
      <c r="D148" s="6"/>
      <c r="E148" s="6"/>
      <c r="F148" s="101"/>
      <c r="G148" s="102"/>
      <c r="H148" s="6"/>
      <c r="I148" s="6"/>
      <c r="J148" s="6"/>
      <c r="K148" s="6"/>
      <c r="L148" s="21"/>
      <c r="M148" s="21"/>
      <c r="N148" s="21"/>
      <c r="O148" s="21"/>
      <c r="P148" s="7"/>
      <c r="Q148" s="75"/>
      <c r="R148" s="6"/>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row>
    <row r="149" spans="1:58" s="14" customFormat="1" x14ac:dyDescent="0.15">
      <c r="A149" s="6"/>
      <c r="B149" s="6"/>
      <c r="C149" s="6"/>
      <c r="D149" s="6"/>
      <c r="E149" s="6"/>
      <c r="F149" s="101"/>
      <c r="G149" s="102"/>
      <c r="H149" s="6"/>
      <c r="I149" s="6"/>
      <c r="J149" s="6"/>
      <c r="K149" s="6"/>
      <c r="L149" s="21"/>
      <c r="M149" s="21"/>
      <c r="N149" s="21"/>
      <c r="O149" s="21"/>
      <c r="P149" s="7"/>
      <c r="Q149" s="75"/>
      <c r="R149" s="6"/>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row>
    <row r="150" spans="1:58" s="14" customFormat="1" x14ac:dyDescent="0.15">
      <c r="A150" s="6"/>
      <c r="B150" s="6"/>
      <c r="C150" s="6"/>
      <c r="D150" s="6"/>
      <c r="E150" s="6"/>
      <c r="F150" s="101"/>
      <c r="G150" s="102"/>
      <c r="H150" s="6"/>
      <c r="I150" s="6"/>
      <c r="J150" s="6"/>
      <c r="K150" s="6"/>
      <c r="L150" s="21"/>
      <c r="M150" s="21"/>
      <c r="N150" s="21"/>
      <c r="O150" s="21"/>
      <c r="P150" s="7"/>
      <c r="Q150" s="75"/>
      <c r="R150" s="6"/>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row>
    <row r="151" spans="1:58" s="14" customFormat="1" x14ac:dyDescent="0.15">
      <c r="A151" s="6"/>
      <c r="B151" s="6"/>
      <c r="C151" s="6"/>
      <c r="D151" s="6"/>
      <c r="E151" s="6"/>
      <c r="F151" s="101"/>
      <c r="G151" s="102"/>
      <c r="H151" s="6"/>
      <c r="I151" s="6"/>
      <c r="J151" s="6"/>
      <c r="K151" s="6"/>
      <c r="L151" s="21"/>
      <c r="M151" s="21"/>
      <c r="N151" s="21"/>
      <c r="O151" s="21"/>
      <c r="P151" s="7"/>
      <c r="Q151" s="75"/>
      <c r="R151" s="6"/>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row>
    <row r="152" spans="1:58" s="14" customFormat="1" x14ac:dyDescent="0.15">
      <c r="A152" s="6"/>
      <c r="B152" s="6"/>
      <c r="C152" s="6"/>
      <c r="D152" s="6"/>
      <c r="E152" s="6"/>
      <c r="F152" s="101"/>
      <c r="G152" s="102"/>
      <c r="H152" s="6"/>
      <c r="I152" s="6"/>
      <c r="J152" s="6"/>
      <c r="K152" s="6"/>
      <c r="L152" s="21"/>
      <c r="M152" s="21"/>
      <c r="N152" s="21"/>
      <c r="O152" s="21"/>
      <c r="P152" s="7"/>
      <c r="Q152" s="75"/>
      <c r="R152" s="6"/>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row>
    <row r="153" spans="1:58" s="14" customFormat="1" x14ac:dyDescent="0.15">
      <c r="A153" s="6"/>
      <c r="B153" s="6"/>
      <c r="C153" s="6"/>
      <c r="D153" s="6"/>
      <c r="E153" s="6"/>
      <c r="F153" s="101"/>
      <c r="G153" s="102"/>
      <c r="H153" s="6"/>
      <c r="I153" s="6"/>
      <c r="J153" s="6"/>
      <c r="K153" s="6"/>
      <c r="L153" s="21"/>
      <c r="M153" s="21"/>
      <c r="N153" s="21"/>
      <c r="O153" s="21"/>
      <c r="P153" s="7"/>
      <c r="Q153" s="75"/>
      <c r="R153" s="6"/>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row>
    <row r="154" spans="1:58" x14ac:dyDescent="0.15">
      <c r="F154" s="105"/>
      <c r="G154" s="106"/>
      <c r="H154" s="6"/>
      <c r="I154" s="6"/>
      <c r="J154" s="6"/>
      <c r="K154" s="6"/>
    </row>
    <row r="155" spans="1:58" x14ac:dyDescent="0.15">
      <c r="H155" s="6"/>
      <c r="I155" s="6"/>
      <c r="J155" s="6"/>
      <c r="K155" s="6"/>
    </row>
    <row r="156" spans="1:58" x14ac:dyDescent="0.15">
      <c r="H156" s="6"/>
      <c r="I156" s="6"/>
      <c r="J156" s="6"/>
      <c r="K156" s="6"/>
    </row>
    <row r="157" spans="1:58" x14ac:dyDescent="0.15">
      <c r="H157" s="6"/>
      <c r="I157" s="6"/>
      <c r="J157" s="6"/>
      <c r="K157" s="6"/>
    </row>
    <row r="161" spans="6:18" x14ac:dyDescent="0.15">
      <c r="F161" s="107"/>
      <c r="G161" s="108"/>
    </row>
    <row r="163" spans="6:18" x14ac:dyDescent="0.15">
      <c r="R163" s="75"/>
    </row>
    <row r="215" spans="1:58" s="21" customFormat="1" ht="13" x14ac:dyDescent="0.15">
      <c r="A215" s="6"/>
      <c r="B215" s="6">
        <v>40997</v>
      </c>
      <c r="C215" s="5" t="s">
        <v>1035</v>
      </c>
      <c r="D215" s="6">
        <v>3</v>
      </c>
      <c r="E215" s="5" t="s">
        <v>662</v>
      </c>
      <c r="F215" s="101">
        <v>4.5138888888888892E-4</v>
      </c>
      <c r="G215" s="102"/>
      <c r="H215" s="75"/>
      <c r="I215" s="118" t="s">
        <v>1526</v>
      </c>
      <c r="J215" s="75"/>
      <c r="K215" s="75"/>
      <c r="P215" s="7"/>
      <c r="Q215" s="75"/>
      <c r="R215" s="6"/>
      <c r="S215" s="14"/>
      <c r="T215" s="14"/>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row>
    <row r="216" spans="1:58" s="21" customFormat="1" ht="13" x14ac:dyDescent="0.15">
      <c r="A216" s="6"/>
      <c r="B216" s="6">
        <v>40997</v>
      </c>
      <c r="C216" s="5" t="s">
        <v>1035</v>
      </c>
      <c r="D216" s="6">
        <v>4</v>
      </c>
      <c r="E216" s="5" t="s">
        <v>662</v>
      </c>
      <c r="F216" s="101">
        <v>5.7870370370370378E-4</v>
      </c>
      <c r="G216" s="102"/>
      <c r="H216" s="75"/>
      <c r="I216" s="118" t="s">
        <v>1210</v>
      </c>
      <c r="J216" s="75"/>
      <c r="K216" s="75"/>
      <c r="P216" s="7"/>
      <c r="Q216" s="75"/>
      <c r="R216" s="6"/>
      <c r="S216" s="14"/>
      <c r="T216" s="14"/>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row>
    <row r="217" spans="1:58" s="21" customFormat="1" ht="13" x14ac:dyDescent="0.15">
      <c r="A217" s="6"/>
      <c r="B217" s="6">
        <v>40997</v>
      </c>
      <c r="C217" s="5" t="s">
        <v>86</v>
      </c>
      <c r="D217" s="6">
        <v>4</v>
      </c>
      <c r="E217" s="5" t="s">
        <v>662</v>
      </c>
      <c r="F217" s="101">
        <v>5.5555555555555556E-4</v>
      </c>
      <c r="G217" s="102"/>
      <c r="H217" s="75"/>
      <c r="I217" s="118" t="s">
        <v>1204</v>
      </c>
      <c r="J217" s="75"/>
      <c r="K217" s="75"/>
      <c r="P217" s="7"/>
      <c r="Q217" s="75"/>
      <c r="R217" s="6"/>
      <c r="S217" s="14"/>
      <c r="T217" s="14"/>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row>
    <row r="218" spans="1:58" s="21" customFormat="1" ht="13" x14ac:dyDescent="0.15">
      <c r="A218" s="5" t="s">
        <v>355</v>
      </c>
      <c r="B218" s="6">
        <v>40997</v>
      </c>
      <c r="C218" s="5" t="s">
        <v>797</v>
      </c>
      <c r="D218" s="6">
        <v>5</v>
      </c>
      <c r="E218" s="5" t="s">
        <v>758</v>
      </c>
      <c r="F218" s="101">
        <v>6.9444444444444447E-4</v>
      </c>
      <c r="G218" s="102"/>
      <c r="H218" s="75"/>
      <c r="I218" s="117" t="s">
        <v>1716</v>
      </c>
      <c r="J218" s="75"/>
      <c r="K218" s="75"/>
      <c r="P218" s="7"/>
      <c r="Q218" s="75"/>
      <c r="R218" s="6"/>
      <c r="S218" s="14"/>
      <c r="T218" s="14"/>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row>
    <row r="219" spans="1:58" s="21" customFormat="1" ht="13" x14ac:dyDescent="0.15">
      <c r="A219" s="5" t="s">
        <v>479</v>
      </c>
      <c r="B219" s="6">
        <v>40997</v>
      </c>
      <c r="C219" s="5" t="s">
        <v>797</v>
      </c>
      <c r="D219" s="6">
        <v>3</v>
      </c>
      <c r="E219" s="5" t="s">
        <v>758</v>
      </c>
      <c r="F219" s="101">
        <v>4.1666666666666669E-4</v>
      </c>
      <c r="G219" s="102"/>
      <c r="H219" s="117" t="s">
        <v>1249</v>
      </c>
      <c r="I219" s="118" t="s">
        <v>793</v>
      </c>
      <c r="J219" s="75"/>
      <c r="K219" s="75"/>
      <c r="P219" s="7"/>
      <c r="Q219" s="75"/>
      <c r="R219" s="6"/>
      <c r="S219" s="14"/>
      <c r="T219" s="14"/>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row>
    <row r="220" spans="1:58" s="21" customFormat="1" ht="13" x14ac:dyDescent="0.15">
      <c r="A220" s="5" t="s">
        <v>375</v>
      </c>
      <c r="B220" s="6">
        <v>40997</v>
      </c>
      <c r="C220" s="5" t="s">
        <v>469</v>
      </c>
      <c r="D220" s="6">
        <v>6</v>
      </c>
      <c r="E220" s="5" t="s">
        <v>662</v>
      </c>
      <c r="F220" s="101">
        <v>8.6805555555555551E-4</v>
      </c>
      <c r="G220" s="102"/>
      <c r="H220" s="75"/>
      <c r="I220" s="118" t="s">
        <v>964</v>
      </c>
      <c r="J220" s="75"/>
      <c r="K220" s="75"/>
      <c r="P220" s="7"/>
      <c r="Q220" s="75"/>
      <c r="R220" s="6"/>
      <c r="S220" s="14"/>
      <c r="T220" s="14"/>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row>
    <row r="221" spans="1:58" ht="13" x14ac:dyDescent="0.15">
      <c r="A221" s="5" t="s">
        <v>1158</v>
      </c>
    </row>
    <row r="222" spans="1:58" ht="13" x14ac:dyDescent="0.15">
      <c r="A222" s="5" t="s">
        <v>353</v>
      </c>
    </row>
    <row r="223" spans="1:58" ht="13" x14ac:dyDescent="0.15">
      <c r="A223" s="5" t="s">
        <v>1528</v>
      </c>
    </row>
  </sheetData>
  <sortState ref="A13:BD38">
    <sortCondition ref="C13:C38"/>
  </sortState>
  <hyperlinks>
    <hyperlink ref="R20" r:id="rId1" display="http://www.phillyburbs.com/my_town/bensalem/smarty-jones-baby-arrives-in-buckingham/article_01ebed19-6a50-513e-a602-4a2c7091f609.html"/>
  </hyperlinks>
  <pageMargins left="0.7" right="0.7" top="0.75" bottom="0.75" header="0.3" footer="0.3"/>
  <pageSetup orientation="portrait" verticalDpi="4294967294"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31"/>
  <sheetViews>
    <sheetView workbookViewId="0">
      <pane ySplit="3" topLeftCell="A4" activePane="bottomLeft" state="frozen"/>
      <selection pane="bottomLeft" activeCell="H11" sqref="H11"/>
    </sheetView>
  </sheetViews>
  <sheetFormatPr baseColWidth="10" defaultColWidth="9.1640625" defaultRowHeight="12" x14ac:dyDescent="0.15"/>
  <cols>
    <col min="1" max="1" width="17.5" style="379" customWidth="1"/>
    <col min="2" max="2" width="12.83203125" style="379" customWidth="1"/>
    <col min="3" max="3" width="23.33203125" style="379" customWidth="1"/>
    <col min="4" max="4" width="18.5" style="379" customWidth="1"/>
    <col min="5" max="5" width="17.1640625" style="379" customWidth="1"/>
    <col min="6" max="6" width="10.5" style="374" customWidth="1"/>
    <col min="7" max="7" width="10.33203125" style="377" customWidth="1"/>
    <col min="8" max="8" width="4.1640625" style="536" customWidth="1"/>
    <col min="9" max="11" width="3.5" style="536" customWidth="1"/>
    <col min="12" max="12" width="9.5" style="375" customWidth="1"/>
    <col min="13" max="13" width="9.6640625" style="375" customWidth="1"/>
    <col min="14" max="14" width="6.5" style="375" customWidth="1"/>
    <col min="15" max="15" width="6.1640625" style="375" customWidth="1"/>
    <col min="16" max="16" width="14" style="375" customWidth="1"/>
    <col min="17" max="17" width="9.5" style="375" customWidth="1"/>
    <col min="18" max="18" width="9.1640625" style="374"/>
    <col min="19" max="19" width="2.6640625" style="374" customWidth="1"/>
    <col min="20" max="20" width="9.1640625" style="374"/>
    <col min="21" max="21" width="11.5" style="373" customWidth="1"/>
    <col min="22" max="22" width="9.1640625" style="373"/>
    <col min="23" max="23" width="2.6640625" style="373" customWidth="1"/>
    <col min="24" max="16384" width="9.1640625" style="373"/>
  </cols>
  <sheetData>
    <row r="1" spans="1:60" ht="12" customHeight="1" x14ac:dyDescent="0.15"/>
    <row r="2" spans="1:60" ht="12" customHeight="1" x14ac:dyDescent="0.15">
      <c r="A2" s="414"/>
      <c r="F2" s="426"/>
      <c r="G2" s="410" t="s">
        <v>436</v>
      </c>
      <c r="K2" s="537"/>
      <c r="L2" s="410" t="s">
        <v>624</v>
      </c>
      <c r="M2" s="410"/>
      <c r="N2" s="410"/>
      <c r="O2" s="410"/>
      <c r="P2" s="410"/>
      <c r="Q2" s="409"/>
      <c r="R2" s="409"/>
      <c r="U2" s="408"/>
      <c r="AC2" s="407"/>
    </row>
    <row r="3" spans="1:60" s="399" customFormat="1" ht="44" customHeight="1" thickBot="1" x14ac:dyDescent="0.2">
      <c r="A3" s="406" t="s">
        <v>720</v>
      </c>
      <c r="B3" s="406" t="s">
        <v>710</v>
      </c>
      <c r="C3" s="406" t="s">
        <v>844</v>
      </c>
      <c r="D3" s="406" t="s">
        <v>670</v>
      </c>
      <c r="E3" s="406" t="s">
        <v>310</v>
      </c>
      <c r="F3" s="402" t="s">
        <v>845</v>
      </c>
      <c r="G3" s="404" t="s">
        <v>635</v>
      </c>
      <c r="H3" s="403" t="s">
        <v>392</v>
      </c>
      <c r="I3" s="403" t="s">
        <v>393</v>
      </c>
      <c r="J3" s="403" t="s">
        <v>394</v>
      </c>
      <c r="K3" s="403" t="s">
        <v>395</v>
      </c>
      <c r="L3" s="402" t="s">
        <v>647</v>
      </c>
      <c r="M3" s="402" t="s">
        <v>1977</v>
      </c>
      <c r="N3" s="190" t="s">
        <v>2301</v>
      </c>
      <c r="O3" s="190" t="s">
        <v>2302</v>
      </c>
      <c r="P3" s="402" t="s">
        <v>120</v>
      </c>
      <c r="Q3" s="402" t="s">
        <v>1242</v>
      </c>
      <c r="R3" s="401" t="s">
        <v>669</v>
      </c>
      <c r="S3" s="400"/>
      <c r="T3" s="400"/>
    </row>
    <row r="4" spans="1:60" s="140" customFormat="1" ht="12" customHeight="1" thickTop="1" x14ac:dyDescent="0.15">
      <c r="A4" s="58" t="s">
        <v>2928</v>
      </c>
      <c r="B4" s="58" t="s">
        <v>2598</v>
      </c>
      <c r="C4" s="58" t="s">
        <v>2927</v>
      </c>
      <c r="D4" s="58" t="s">
        <v>2926</v>
      </c>
      <c r="E4" s="58" t="s">
        <v>2925</v>
      </c>
      <c r="F4" s="137">
        <v>41489</v>
      </c>
      <c r="G4" s="138"/>
      <c r="H4" s="139">
        <v>8</v>
      </c>
      <c r="I4" s="139">
        <v>3</v>
      </c>
      <c r="J4" s="139">
        <v>1</v>
      </c>
      <c r="K4" s="139">
        <v>1</v>
      </c>
      <c r="L4" s="191">
        <f>1138+2784+1922+5368+10402+1007+99+99</f>
        <v>22819</v>
      </c>
      <c r="M4" s="191">
        <f>IF(H4="","--",L4/H4)</f>
        <v>2852.375</v>
      </c>
      <c r="N4" s="330">
        <f>IF(H4="","--",I4/H4)</f>
        <v>0.375</v>
      </c>
      <c r="O4" s="330">
        <f>IF(H4="","--",SUM(I4:K4)/H4)</f>
        <v>0.625</v>
      </c>
      <c r="P4" s="330" t="s">
        <v>5640</v>
      </c>
      <c r="Q4" s="330"/>
      <c r="R4" s="56" t="s">
        <v>5549</v>
      </c>
      <c r="S4" s="330"/>
      <c r="T4" s="56"/>
      <c r="U4" s="56"/>
      <c r="V4" s="58"/>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BC4" s="441"/>
      <c r="BE4" s="141"/>
      <c r="BH4" s="141"/>
    </row>
    <row r="5" spans="1:60" s="140" customFormat="1" ht="12" customHeight="1" x14ac:dyDescent="0.15">
      <c r="A5" s="58" t="s">
        <v>2922</v>
      </c>
      <c r="B5" s="58" t="s">
        <v>2589</v>
      </c>
      <c r="C5" s="58" t="s">
        <v>2921</v>
      </c>
      <c r="D5" s="58" t="s">
        <v>1139</v>
      </c>
      <c r="E5" s="58" t="s">
        <v>2920</v>
      </c>
      <c r="F5" s="137">
        <v>41556</v>
      </c>
      <c r="G5" s="138"/>
      <c r="H5" s="139">
        <v>12</v>
      </c>
      <c r="I5" s="139">
        <v>2</v>
      </c>
      <c r="J5" s="139">
        <v>3</v>
      </c>
      <c r="K5" s="139">
        <v>1</v>
      </c>
      <c r="L5" s="191">
        <f>275+269+2718+538+1903+1918+2183+558+1966+4380+99+99</f>
        <v>16906</v>
      </c>
      <c r="M5" s="191">
        <f t="shared" ref="M5:M13" si="0">IF(H5="","--",L5/H5)</f>
        <v>1408.8333333333333</v>
      </c>
      <c r="N5" s="330">
        <f t="shared" ref="N5" si="1">IF(H5="","--",I5/H5)</f>
        <v>0.16666666666666666</v>
      </c>
      <c r="O5" s="330">
        <f t="shared" ref="O5" si="2">IF(H5="","--",SUM(I5:K5)/H5)</f>
        <v>0.5</v>
      </c>
      <c r="P5" s="330" t="s">
        <v>5640</v>
      </c>
      <c r="Q5" s="330"/>
      <c r="R5" s="56" t="s">
        <v>5554</v>
      </c>
      <c r="S5" s="330"/>
      <c r="T5" s="56"/>
      <c r="U5" s="56"/>
      <c r="V5" s="58"/>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BC5" s="441"/>
      <c r="BE5" s="141"/>
      <c r="BH5" s="141"/>
    </row>
    <row r="6" spans="1:60" s="140" customFormat="1" ht="12" customHeight="1" x14ac:dyDescent="0.15">
      <c r="A6" s="58" t="s">
        <v>2909</v>
      </c>
      <c r="B6" s="58" t="s">
        <v>2598</v>
      </c>
      <c r="C6" s="58" t="s">
        <v>2644</v>
      </c>
      <c r="D6" s="58" t="s">
        <v>2643</v>
      </c>
      <c r="E6" s="58" t="s">
        <v>2908</v>
      </c>
      <c r="F6" s="137">
        <v>41535</v>
      </c>
      <c r="G6" s="138"/>
      <c r="H6" s="139">
        <v>1</v>
      </c>
      <c r="I6" s="139">
        <v>1</v>
      </c>
      <c r="J6" s="139">
        <v>0</v>
      </c>
      <c r="K6" s="139">
        <v>0</v>
      </c>
      <c r="L6" s="191">
        <v>2536</v>
      </c>
      <c r="M6" s="191">
        <f t="shared" si="0"/>
        <v>2536</v>
      </c>
      <c r="N6" s="330">
        <f>IF(H6="","--",I6/H6)</f>
        <v>1</v>
      </c>
      <c r="O6" s="330">
        <f>IF(H6="","--",SUM(I6:K6)/H6)</f>
        <v>1</v>
      </c>
      <c r="P6" s="330" t="s">
        <v>5540</v>
      </c>
      <c r="Q6" s="330"/>
      <c r="R6" s="56" t="s">
        <v>5278</v>
      </c>
      <c r="S6" s="330"/>
      <c r="T6" s="56"/>
      <c r="U6" s="56"/>
      <c r="V6" s="58"/>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BC6" s="441"/>
      <c r="BE6" s="141"/>
      <c r="BH6" s="141"/>
    </row>
    <row r="7" spans="1:60" s="140" customFormat="1" ht="12" customHeight="1" x14ac:dyDescent="0.15">
      <c r="A7" s="58" t="s">
        <v>2887</v>
      </c>
      <c r="B7" s="58" t="s">
        <v>2598</v>
      </c>
      <c r="C7" s="58" t="s">
        <v>2886</v>
      </c>
      <c r="D7" s="58" t="s">
        <v>2738</v>
      </c>
      <c r="E7" s="58" t="s">
        <v>2609</v>
      </c>
      <c r="F7" s="137">
        <v>41490</v>
      </c>
      <c r="G7" s="138"/>
      <c r="H7" s="139">
        <v>1</v>
      </c>
      <c r="I7" s="139">
        <v>1</v>
      </c>
      <c r="J7" s="139">
        <v>0</v>
      </c>
      <c r="K7" s="139">
        <v>0</v>
      </c>
      <c r="L7" s="191">
        <v>2722</v>
      </c>
      <c r="M7" s="191">
        <f>IF(H7="","--",L7/H7)</f>
        <v>2722</v>
      </c>
      <c r="N7" s="330">
        <f>IF(H7="","--",I7/H7)</f>
        <v>1</v>
      </c>
      <c r="O7" s="330">
        <f>IF(H7="","--",SUM(I7:K7)/H7)</f>
        <v>1</v>
      </c>
      <c r="P7" s="330" t="s">
        <v>5170</v>
      </c>
      <c r="Q7" s="330"/>
      <c r="R7" s="56"/>
      <c r="S7" s="330"/>
      <c r="T7" s="56"/>
      <c r="U7" s="56"/>
      <c r="V7" s="58"/>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BC7" s="441"/>
      <c r="BE7" s="141"/>
      <c r="BH7" s="141"/>
    </row>
    <row r="8" spans="1:60" s="140" customFormat="1" ht="12" customHeight="1" x14ac:dyDescent="0.15">
      <c r="A8" s="58" t="s">
        <v>2894</v>
      </c>
      <c r="B8" s="58" t="s">
        <v>2589</v>
      </c>
      <c r="C8" s="58" t="s">
        <v>2893</v>
      </c>
      <c r="D8" s="58" t="s">
        <v>2745</v>
      </c>
      <c r="E8" s="58" t="s">
        <v>2892</v>
      </c>
      <c r="F8" s="137">
        <v>41489</v>
      </c>
      <c r="G8" s="138"/>
      <c r="H8" s="139">
        <v>1</v>
      </c>
      <c r="I8" s="139">
        <v>1</v>
      </c>
      <c r="J8" s="139">
        <v>0</v>
      </c>
      <c r="K8" s="139">
        <v>0</v>
      </c>
      <c r="L8" s="191">
        <v>4320</v>
      </c>
      <c r="M8" s="191">
        <f t="shared" si="0"/>
        <v>4320</v>
      </c>
      <c r="N8" s="330">
        <f>IF(H8="","--",I8/H8)</f>
        <v>1</v>
      </c>
      <c r="O8" s="330">
        <f>IF(H8="","--",SUM(I8:K8)/H8)</f>
        <v>1</v>
      </c>
      <c r="P8" s="330" t="s">
        <v>5408</v>
      </c>
      <c r="Q8" s="330"/>
      <c r="R8" s="56" t="s">
        <v>5404</v>
      </c>
      <c r="S8" s="330"/>
      <c r="T8" s="56"/>
      <c r="U8" s="56"/>
      <c r="V8" s="58"/>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BC8" s="441"/>
      <c r="BE8" s="141"/>
      <c r="BH8" s="141"/>
    </row>
    <row r="9" spans="1:60" s="140" customFormat="1" ht="12" customHeight="1" x14ac:dyDescent="0.15">
      <c r="A9" s="58" t="s">
        <v>2869</v>
      </c>
      <c r="B9" s="58" t="s">
        <v>2598</v>
      </c>
      <c r="C9" s="58" t="s">
        <v>2868</v>
      </c>
      <c r="D9" s="58" t="s">
        <v>2649</v>
      </c>
      <c r="E9" s="58" t="s">
        <v>2609</v>
      </c>
      <c r="F9" s="137">
        <v>41493</v>
      </c>
      <c r="G9" s="138"/>
      <c r="H9" s="139">
        <v>3</v>
      </c>
      <c r="I9" s="139">
        <v>1</v>
      </c>
      <c r="J9" s="139">
        <v>2</v>
      </c>
      <c r="K9" s="139">
        <v>0</v>
      </c>
      <c r="L9" s="191">
        <f>1082+2678+1588</f>
        <v>5348</v>
      </c>
      <c r="M9" s="191">
        <f t="shared" si="0"/>
        <v>1782.6666666666667</v>
      </c>
      <c r="N9" s="330">
        <f t="shared" ref="N9:N14" si="3">IF(H9="","--",I9/H9)</f>
        <v>0.33333333333333331</v>
      </c>
      <c r="O9" s="330">
        <f t="shared" ref="O9:O14" si="4">IF(H9="","--",SUM(I9:K9)/H9)</f>
        <v>1</v>
      </c>
      <c r="P9" s="330" t="s">
        <v>5182</v>
      </c>
      <c r="Q9" s="330"/>
      <c r="R9" s="56"/>
      <c r="S9" s="330"/>
      <c r="T9" s="56"/>
      <c r="U9" s="56"/>
      <c r="V9" s="58"/>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BC9" s="441"/>
      <c r="BE9" s="141"/>
      <c r="BH9" s="141"/>
    </row>
    <row r="10" spans="1:60" s="140" customFormat="1" ht="12" customHeight="1" x14ac:dyDescent="0.15">
      <c r="A10" s="58" t="s">
        <v>3084</v>
      </c>
      <c r="B10" s="58" t="s">
        <v>2598</v>
      </c>
      <c r="C10" s="58" t="s">
        <v>2737</v>
      </c>
      <c r="D10" s="58" t="s">
        <v>3085</v>
      </c>
      <c r="E10" s="58" t="s">
        <v>3083</v>
      </c>
      <c r="F10" s="137">
        <v>41594</v>
      </c>
      <c r="G10" s="138"/>
      <c r="H10" s="139">
        <v>6</v>
      </c>
      <c r="I10" s="139">
        <v>2</v>
      </c>
      <c r="J10" s="139">
        <v>0</v>
      </c>
      <c r="K10" s="139">
        <v>1</v>
      </c>
      <c r="L10" s="191">
        <f>549+1162+5435+10066+99</f>
        <v>17311</v>
      </c>
      <c r="M10" s="191">
        <f t="shared" si="0"/>
        <v>2885.1666666666665</v>
      </c>
      <c r="N10" s="330">
        <f t="shared" si="3"/>
        <v>0.33333333333333331</v>
      </c>
      <c r="O10" s="330">
        <f>IF(H10="","--",SUM(I10:K10)/H10)</f>
        <v>0.5</v>
      </c>
      <c r="P10" s="330" t="s">
        <v>5640</v>
      </c>
      <c r="Q10" s="330"/>
      <c r="R10" s="56" t="s">
        <v>5553</v>
      </c>
      <c r="S10" s="330"/>
      <c r="T10" s="56"/>
      <c r="U10" s="56"/>
      <c r="V10" s="58"/>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BC10" s="441"/>
      <c r="BE10" s="141"/>
      <c r="BH10" s="141"/>
    </row>
    <row r="11" spans="1:60" s="140" customFormat="1" ht="12" customHeight="1" x14ac:dyDescent="0.15">
      <c r="A11" s="58" t="s">
        <v>2851</v>
      </c>
      <c r="B11" s="58" t="s">
        <v>2589</v>
      </c>
      <c r="C11" s="58" t="s">
        <v>2561</v>
      </c>
      <c r="D11" s="58" t="s">
        <v>2560</v>
      </c>
      <c r="E11" s="58" t="s">
        <v>2850</v>
      </c>
      <c r="F11" s="137">
        <v>41569</v>
      </c>
      <c r="G11" s="138"/>
      <c r="H11" s="139">
        <v>2</v>
      </c>
      <c r="I11" s="139">
        <v>1</v>
      </c>
      <c r="J11" s="139">
        <v>0</v>
      </c>
      <c r="K11" s="139">
        <v>1</v>
      </c>
      <c r="L11" s="191">
        <f>5617+1070</f>
        <v>6687</v>
      </c>
      <c r="M11" s="191">
        <f t="shared" si="0"/>
        <v>3343.5</v>
      </c>
      <c r="N11" s="330">
        <f t="shared" si="3"/>
        <v>0.5</v>
      </c>
      <c r="O11" s="330">
        <f t="shared" si="4"/>
        <v>1</v>
      </c>
      <c r="P11" s="330" t="s">
        <v>5182</v>
      </c>
      <c r="Q11" s="330"/>
      <c r="R11" s="56" t="s">
        <v>5122</v>
      </c>
      <c r="S11" s="330"/>
      <c r="T11" s="56"/>
      <c r="U11" s="56"/>
      <c r="V11" s="58"/>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BC11" s="441"/>
      <c r="BE11" s="141"/>
      <c r="BH11" s="141"/>
    </row>
    <row r="12" spans="1:60" s="90" customFormat="1" ht="12" customHeight="1" x14ac:dyDescent="0.15">
      <c r="A12" s="142" t="s">
        <v>2932</v>
      </c>
      <c r="B12" s="142" t="s">
        <v>2589</v>
      </c>
      <c r="C12" s="142" t="s">
        <v>2931</v>
      </c>
      <c r="D12" s="142" t="s">
        <v>2930</v>
      </c>
      <c r="E12" s="142" t="s">
        <v>2929</v>
      </c>
      <c r="F12" s="143">
        <v>41604</v>
      </c>
      <c r="G12" s="144"/>
      <c r="H12" s="145">
        <v>2</v>
      </c>
      <c r="I12" s="145">
        <v>0</v>
      </c>
      <c r="J12" s="145">
        <v>0</v>
      </c>
      <c r="K12" s="145">
        <v>0</v>
      </c>
      <c r="L12" s="146">
        <f>65+65</f>
        <v>130</v>
      </c>
      <c r="M12" s="146">
        <f t="shared" si="0"/>
        <v>65</v>
      </c>
      <c r="N12" s="628">
        <f t="shared" si="3"/>
        <v>0</v>
      </c>
      <c r="O12" s="628">
        <f t="shared" si="4"/>
        <v>0</v>
      </c>
      <c r="P12" s="331" t="s">
        <v>5170</v>
      </c>
      <c r="Q12" s="331"/>
      <c r="R12" s="147"/>
      <c r="S12" s="147"/>
      <c r="T12" s="142"/>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BC12" s="441"/>
    </row>
    <row r="13" spans="1:60" s="90" customFormat="1" ht="12" customHeight="1" x14ac:dyDescent="0.15">
      <c r="A13" s="142" t="s">
        <v>2924</v>
      </c>
      <c r="B13" s="142" t="s">
        <v>2598</v>
      </c>
      <c r="C13" s="142" t="s">
        <v>2923</v>
      </c>
      <c r="D13" s="142" t="s">
        <v>2556</v>
      </c>
      <c r="E13" s="142" t="s">
        <v>2910</v>
      </c>
      <c r="F13" s="143">
        <v>41532</v>
      </c>
      <c r="G13" s="144"/>
      <c r="H13" s="145">
        <v>2</v>
      </c>
      <c r="I13" s="145">
        <v>0</v>
      </c>
      <c r="J13" s="145">
        <v>0</v>
      </c>
      <c r="K13" s="145">
        <v>0</v>
      </c>
      <c r="L13" s="146">
        <f>65+0</f>
        <v>65</v>
      </c>
      <c r="M13" s="146">
        <f t="shared" si="0"/>
        <v>32.5</v>
      </c>
      <c r="N13" s="628">
        <f t="shared" si="3"/>
        <v>0</v>
      </c>
      <c r="O13" s="628">
        <f t="shared" si="4"/>
        <v>0</v>
      </c>
      <c r="P13" s="331" t="s">
        <v>5417</v>
      </c>
      <c r="Q13" s="331"/>
      <c r="R13" s="147"/>
      <c r="S13" s="147"/>
      <c r="T13" s="142"/>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BC13" s="441"/>
    </row>
    <row r="14" spans="1:60" s="90" customFormat="1" ht="12" customHeight="1" x14ac:dyDescent="0.15">
      <c r="A14" s="142" t="s">
        <v>2899</v>
      </c>
      <c r="B14" s="142" t="s">
        <v>2598</v>
      </c>
      <c r="C14" s="142" t="s">
        <v>2898</v>
      </c>
      <c r="D14" s="142" t="s">
        <v>2582</v>
      </c>
      <c r="E14" s="142" t="s">
        <v>2892</v>
      </c>
      <c r="F14" s="143">
        <v>41463</v>
      </c>
      <c r="G14" s="144"/>
      <c r="H14" s="145">
        <v>7</v>
      </c>
      <c r="I14" s="145">
        <v>0</v>
      </c>
      <c r="J14" s="145">
        <v>1</v>
      </c>
      <c r="K14" s="145">
        <v>3</v>
      </c>
      <c r="L14" s="146">
        <f>269+1922+359+1188+1926+99</f>
        <v>5763</v>
      </c>
      <c r="M14" s="146">
        <f t="shared" ref="M14" si="5">IF(H14="","--",L14/H14)</f>
        <v>823.28571428571433</v>
      </c>
      <c r="N14" s="628">
        <f t="shared" si="3"/>
        <v>0</v>
      </c>
      <c r="O14" s="628">
        <f t="shared" si="4"/>
        <v>0.5714285714285714</v>
      </c>
      <c r="P14" s="331" t="s">
        <v>5408</v>
      </c>
      <c r="Q14" s="331"/>
      <c r="R14" s="147"/>
      <c r="S14" s="147"/>
      <c r="T14" s="142"/>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BC14" s="441"/>
    </row>
    <row r="15" spans="1:60" s="90" customFormat="1" ht="12" customHeight="1" x14ac:dyDescent="0.15">
      <c r="A15" s="142" t="s">
        <v>2879</v>
      </c>
      <c r="B15" s="142" t="s">
        <v>2598</v>
      </c>
      <c r="C15" s="142" t="s">
        <v>2878</v>
      </c>
      <c r="D15" s="142" t="s">
        <v>2668</v>
      </c>
      <c r="E15" s="142" t="s">
        <v>2609</v>
      </c>
      <c r="F15" s="143">
        <v>41541</v>
      </c>
      <c r="G15" s="144"/>
      <c r="H15" s="145">
        <v>1</v>
      </c>
      <c r="I15" s="145">
        <v>0</v>
      </c>
      <c r="J15" s="145">
        <v>1</v>
      </c>
      <c r="K15" s="145">
        <v>0</v>
      </c>
      <c r="L15" s="146">
        <v>3526</v>
      </c>
      <c r="M15" s="146">
        <f t="shared" ref="M15:M16" si="6">IF(H15="","--",L15/H15)</f>
        <v>3526</v>
      </c>
      <c r="N15" s="628">
        <f t="shared" ref="N15:N16" si="7">IF(H15="","--",I15/H15)</f>
        <v>0</v>
      </c>
      <c r="O15" s="628">
        <f t="shared" ref="O15:O16" si="8">IF(H15="","--",SUM(I15:K15)/H15)</f>
        <v>1</v>
      </c>
      <c r="P15" s="331" t="s">
        <v>5467</v>
      </c>
      <c r="Q15" s="331"/>
      <c r="R15" s="147" t="s">
        <v>5555</v>
      </c>
      <c r="S15" s="147"/>
      <c r="T15" s="142"/>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BC15" s="441"/>
    </row>
    <row r="16" spans="1:60" s="90" customFormat="1" ht="12" customHeight="1" x14ac:dyDescent="0.15">
      <c r="A16" s="142" t="s">
        <v>2880</v>
      </c>
      <c r="B16" s="142" t="s">
        <v>2598</v>
      </c>
      <c r="C16" s="142" t="s">
        <v>2725</v>
      </c>
      <c r="D16" s="142" t="s">
        <v>2724</v>
      </c>
      <c r="E16" s="142" t="s">
        <v>2609</v>
      </c>
      <c r="F16" s="143">
        <v>41487</v>
      </c>
      <c r="G16" s="144"/>
      <c r="H16" s="145">
        <v>1</v>
      </c>
      <c r="I16" s="145">
        <v>0</v>
      </c>
      <c r="J16" s="145">
        <v>0</v>
      </c>
      <c r="K16" s="145">
        <v>0</v>
      </c>
      <c r="L16" s="146">
        <v>65</v>
      </c>
      <c r="M16" s="146">
        <f t="shared" si="6"/>
        <v>65</v>
      </c>
      <c r="N16" s="628">
        <f t="shared" si="7"/>
        <v>0</v>
      </c>
      <c r="O16" s="628">
        <f t="shared" si="8"/>
        <v>0</v>
      </c>
      <c r="P16" s="331" t="s">
        <v>5417</v>
      </c>
      <c r="Q16" s="331"/>
      <c r="R16" s="147"/>
      <c r="S16" s="147"/>
      <c r="T16" s="142"/>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BC16" s="441"/>
    </row>
    <row r="17" spans="1:60" s="90" customFormat="1" ht="12" customHeight="1" x14ac:dyDescent="0.15">
      <c r="A17" s="142" t="s">
        <v>2874</v>
      </c>
      <c r="B17" s="142" t="s">
        <v>2589</v>
      </c>
      <c r="C17" s="142" t="s">
        <v>2647</v>
      </c>
      <c r="D17" s="142" t="s">
        <v>2873</v>
      </c>
      <c r="E17" s="142" t="s">
        <v>2609</v>
      </c>
      <c r="F17" s="143">
        <v>41565</v>
      </c>
      <c r="G17" s="144"/>
      <c r="H17" s="145">
        <v>8</v>
      </c>
      <c r="I17" s="145">
        <v>0</v>
      </c>
      <c r="J17" s="145">
        <v>2</v>
      </c>
      <c r="K17" s="145">
        <v>0</v>
      </c>
      <c r="L17" s="146">
        <f>620+537+99+99+558+99+99+457</f>
        <v>2568</v>
      </c>
      <c r="M17" s="146">
        <f t="shared" ref="M17" si="9">IF(H17="","--",L17/H17)</f>
        <v>321</v>
      </c>
      <c r="N17" s="628">
        <f t="shared" ref="N17" si="10">IF(H17="","--",I17/H17)</f>
        <v>0</v>
      </c>
      <c r="O17" s="628">
        <f t="shared" ref="O17" si="11">IF(H17="","--",SUM(I17:K17)/H17)</f>
        <v>0.25</v>
      </c>
      <c r="P17" s="331" t="s">
        <v>5664</v>
      </c>
      <c r="Q17" s="331"/>
      <c r="R17" s="147" t="s">
        <v>5559</v>
      </c>
      <c r="S17" s="147"/>
      <c r="T17" s="142"/>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BC17" s="441"/>
    </row>
    <row r="18" spans="1:60" s="90" customFormat="1" ht="12" customHeight="1" x14ac:dyDescent="0.15">
      <c r="A18" s="142" t="s">
        <v>2872</v>
      </c>
      <c r="B18" s="142" t="s">
        <v>2589</v>
      </c>
      <c r="C18" s="142" t="s">
        <v>2678</v>
      </c>
      <c r="D18" s="142" t="s">
        <v>2677</v>
      </c>
      <c r="E18" s="142" t="s">
        <v>2609</v>
      </c>
      <c r="F18" s="143">
        <v>41554</v>
      </c>
      <c r="G18" s="144"/>
      <c r="H18" s="145">
        <v>1</v>
      </c>
      <c r="I18" s="145">
        <v>0</v>
      </c>
      <c r="J18" s="145">
        <v>0</v>
      </c>
      <c r="K18" s="145">
        <v>0</v>
      </c>
      <c r="L18" s="146">
        <v>99</v>
      </c>
      <c r="M18" s="146">
        <f>IF(H18="","--",L18/H18)</f>
        <v>99</v>
      </c>
      <c r="N18" s="628">
        <f>IF(H18="","--",I18/H18)</f>
        <v>0</v>
      </c>
      <c r="O18" s="628">
        <f>IF(H18="","--",SUM(I18:K18)/H18)</f>
        <v>0</v>
      </c>
      <c r="P18" s="331" t="s">
        <v>5408</v>
      </c>
      <c r="Q18" s="331"/>
      <c r="R18" s="147"/>
      <c r="S18" s="147"/>
      <c r="T18" s="142"/>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BC18" s="441"/>
    </row>
    <row r="19" spans="1:60" s="90" customFormat="1" ht="12" customHeight="1" x14ac:dyDescent="0.15">
      <c r="A19" s="142" t="s">
        <v>2867</v>
      </c>
      <c r="B19" s="142" t="s">
        <v>2589</v>
      </c>
      <c r="C19" s="142" t="s">
        <v>2611</v>
      </c>
      <c r="D19" s="142" t="s">
        <v>2610</v>
      </c>
      <c r="E19" s="142" t="s">
        <v>2609</v>
      </c>
      <c r="F19" s="143">
        <v>41490</v>
      </c>
      <c r="G19" s="144"/>
      <c r="H19" s="145">
        <v>3</v>
      </c>
      <c r="I19" s="145">
        <v>0</v>
      </c>
      <c r="J19" s="145">
        <v>0</v>
      </c>
      <c r="K19" s="145">
        <v>1</v>
      </c>
      <c r="L19" s="146">
        <f>99+1234+99</f>
        <v>1432</v>
      </c>
      <c r="M19" s="146">
        <f t="shared" ref="M19:M23" si="12">IF(H19="","--",L19/H19)</f>
        <v>477.33333333333331</v>
      </c>
      <c r="N19" s="331">
        <f t="shared" ref="N19:N23" si="13">IF(H19="","--",I19/H19)</f>
        <v>0</v>
      </c>
      <c r="O19" s="331">
        <f t="shared" ref="O19:O23" si="14">IF(H19="","--",SUM(I19:K19)/H19)</f>
        <v>0.33333333333333331</v>
      </c>
      <c r="P19" s="147" t="s">
        <v>5640</v>
      </c>
      <c r="Q19" s="147"/>
      <c r="R19" s="142"/>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BA19" s="441"/>
    </row>
    <row r="20" spans="1:60" s="90" customFormat="1" ht="12" customHeight="1" x14ac:dyDescent="0.15">
      <c r="A20" s="142" t="s">
        <v>2865</v>
      </c>
      <c r="B20" s="142" t="s">
        <v>2589</v>
      </c>
      <c r="C20" s="142" t="s">
        <v>2864</v>
      </c>
      <c r="D20" s="142" t="s">
        <v>2863</v>
      </c>
      <c r="E20" s="142" t="s">
        <v>2609</v>
      </c>
      <c r="F20" s="143">
        <v>41513</v>
      </c>
      <c r="G20" s="144"/>
      <c r="H20" s="145">
        <v>1</v>
      </c>
      <c r="I20" s="145">
        <v>0</v>
      </c>
      <c r="J20" s="145">
        <v>0</v>
      </c>
      <c r="K20" s="145">
        <v>0</v>
      </c>
      <c r="L20" s="146">
        <v>65</v>
      </c>
      <c r="M20" s="146">
        <f t="shared" si="12"/>
        <v>65</v>
      </c>
      <c r="N20" s="628">
        <f t="shared" si="13"/>
        <v>0</v>
      </c>
      <c r="O20" s="628">
        <f t="shared" si="14"/>
        <v>0</v>
      </c>
      <c r="P20" s="331" t="s">
        <v>5709</v>
      </c>
      <c r="Q20" s="331"/>
      <c r="R20" s="147"/>
      <c r="S20" s="147"/>
      <c r="T20" s="142"/>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BC20" s="441"/>
    </row>
    <row r="21" spans="1:60" s="90" customFormat="1" ht="12" customHeight="1" x14ac:dyDescent="0.15">
      <c r="A21" s="142" t="s">
        <v>3080</v>
      </c>
      <c r="B21" s="142" t="s">
        <v>2589</v>
      </c>
      <c r="C21" s="142" t="s">
        <v>2662</v>
      </c>
      <c r="D21" s="142" t="s">
        <v>2661</v>
      </c>
      <c r="E21" s="142" t="s">
        <v>2609</v>
      </c>
      <c r="F21" s="143">
        <v>41546</v>
      </c>
      <c r="G21" s="144"/>
      <c r="H21" s="145">
        <v>1</v>
      </c>
      <c r="I21" s="145">
        <v>0</v>
      </c>
      <c r="J21" s="145">
        <v>0</v>
      </c>
      <c r="K21" s="145">
        <v>1</v>
      </c>
      <c r="L21" s="146">
        <v>969</v>
      </c>
      <c r="M21" s="146">
        <f>IF(H21="","--",L21/H21)</f>
        <v>969</v>
      </c>
      <c r="N21" s="628">
        <f>IF(H21="","--",I21/H21)</f>
        <v>0</v>
      </c>
      <c r="O21" s="628">
        <f>IF(H21="","--",SUM(I21:K21)/H21)</f>
        <v>1</v>
      </c>
      <c r="P21" s="331" t="s">
        <v>5408</v>
      </c>
      <c r="Q21" s="331"/>
      <c r="R21" s="147"/>
      <c r="S21" s="147"/>
      <c r="T21" s="142"/>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BC21" s="441"/>
    </row>
    <row r="22" spans="1:60" s="90" customFormat="1" ht="12" customHeight="1" x14ac:dyDescent="0.15">
      <c r="A22" s="142" t="s">
        <v>2846</v>
      </c>
      <c r="B22" s="142" t="s">
        <v>2598</v>
      </c>
      <c r="C22" s="142" t="s">
        <v>2845</v>
      </c>
      <c r="D22" s="142" t="s">
        <v>2844</v>
      </c>
      <c r="E22" s="142" t="s">
        <v>5424</v>
      </c>
      <c r="F22" s="143">
        <v>41527</v>
      </c>
      <c r="G22" s="144"/>
      <c r="H22" s="145">
        <v>3</v>
      </c>
      <c r="I22" s="145">
        <v>0</v>
      </c>
      <c r="J22" s="145">
        <v>0</v>
      </c>
      <c r="K22" s="145">
        <v>0</v>
      </c>
      <c r="L22" s="146">
        <f>99+30+30</f>
        <v>159</v>
      </c>
      <c r="M22" s="146">
        <f t="shared" si="12"/>
        <v>53</v>
      </c>
      <c r="N22" s="628">
        <f t="shared" si="13"/>
        <v>0</v>
      </c>
      <c r="O22" s="628">
        <f t="shared" si="14"/>
        <v>0</v>
      </c>
      <c r="P22" s="331" t="s">
        <v>5732</v>
      </c>
      <c r="Q22" s="331"/>
      <c r="R22" s="147"/>
      <c r="S22" s="147"/>
      <c r="T22" s="142"/>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BC22" s="441"/>
    </row>
    <row r="23" spans="1:60" s="390" customFormat="1" ht="12" customHeight="1" x14ac:dyDescent="0.15">
      <c r="A23" s="396" t="s">
        <v>2862</v>
      </c>
      <c r="B23" s="396" t="s">
        <v>2589</v>
      </c>
      <c r="C23" s="396" t="s">
        <v>2861</v>
      </c>
      <c r="D23" s="396" t="s">
        <v>2860</v>
      </c>
      <c r="E23" s="396" t="s">
        <v>2859</v>
      </c>
      <c r="F23" s="382">
        <v>41482</v>
      </c>
      <c r="G23" s="424"/>
      <c r="H23" s="538"/>
      <c r="I23" s="538"/>
      <c r="J23" s="538"/>
      <c r="K23" s="538"/>
      <c r="L23" s="422"/>
      <c r="M23" s="541" t="str">
        <f t="shared" si="12"/>
        <v>--</v>
      </c>
      <c r="N23" s="438" t="str">
        <f t="shared" si="13"/>
        <v>--</v>
      </c>
      <c r="O23" s="438" t="str">
        <f t="shared" si="14"/>
        <v>--</v>
      </c>
      <c r="P23" s="356" t="s">
        <v>5540</v>
      </c>
      <c r="Q23" s="422"/>
      <c r="R23" s="393"/>
      <c r="S23" s="393"/>
      <c r="T23" s="393"/>
      <c r="U23" s="392"/>
      <c r="V23" s="392"/>
      <c r="W23" s="392"/>
      <c r="X23" s="392"/>
      <c r="Y23" s="392"/>
      <c r="Z23" s="392"/>
      <c r="AA23" s="392"/>
      <c r="AB23" s="392"/>
      <c r="AC23" s="392"/>
      <c r="AD23" s="392"/>
      <c r="AE23" s="392"/>
      <c r="AF23" s="392"/>
      <c r="AG23" s="392"/>
      <c r="AH23" s="392"/>
      <c r="AI23" s="392"/>
      <c r="AJ23" s="392"/>
      <c r="AK23" s="392"/>
      <c r="AL23" s="392"/>
      <c r="AM23" s="392"/>
      <c r="AN23" s="392"/>
      <c r="AO23" s="392"/>
      <c r="AP23" s="392"/>
      <c r="AQ23" s="392"/>
      <c r="AR23" s="392"/>
      <c r="AS23" s="392"/>
      <c r="AT23" s="392"/>
      <c r="AU23" s="373"/>
      <c r="AV23" s="373"/>
      <c r="AW23" s="373"/>
      <c r="AX23" s="373"/>
      <c r="AY23" s="373"/>
      <c r="AZ23" s="373"/>
      <c r="BA23" s="373"/>
      <c r="BB23" s="373"/>
      <c r="BC23" s="373"/>
      <c r="BD23" s="373"/>
      <c r="BE23" s="373"/>
      <c r="BF23" s="373"/>
    </row>
    <row r="24" spans="1:60" s="90" customFormat="1" ht="12" customHeight="1" x14ac:dyDescent="0.15">
      <c r="A24" s="129"/>
      <c r="B24" s="51"/>
      <c r="C24" s="51"/>
      <c r="D24" s="51"/>
      <c r="E24" s="51"/>
      <c r="F24" s="85"/>
      <c r="G24" s="86"/>
      <c r="H24" s="348"/>
      <c r="I24" s="348"/>
      <c r="J24" s="348"/>
      <c r="K24" s="348"/>
      <c r="L24" s="86"/>
      <c r="M24" s="119"/>
      <c r="N24" s="119"/>
      <c r="O24" s="119"/>
      <c r="P24" s="333"/>
      <c r="Q24" s="333"/>
      <c r="R24" s="349"/>
      <c r="S24" s="349"/>
      <c r="T24" s="349"/>
      <c r="U24" s="55"/>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13"/>
      <c r="BC24" s="441" t="str">
        <f t="shared" ref="BC24:BC25" si="15">IF(I24="","",IF(I24=0,0,1))</f>
        <v/>
      </c>
    </row>
    <row r="25" spans="1:60" s="13" customFormat="1" ht="12" customHeight="1" x14ac:dyDescent="0.15">
      <c r="A25" s="110" t="s">
        <v>1699</v>
      </c>
      <c r="B25" s="6"/>
      <c r="C25" s="6"/>
      <c r="D25" s="6"/>
      <c r="E25" s="6"/>
      <c r="F25" s="101"/>
      <c r="G25" s="96"/>
      <c r="H25" s="103"/>
      <c r="I25" s="103"/>
      <c r="J25" s="103"/>
      <c r="K25" s="103"/>
      <c r="L25" s="100"/>
      <c r="M25" s="100"/>
      <c r="N25" s="100"/>
      <c r="O25" s="100"/>
      <c r="P25" s="334"/>
      <c r="Q25" s="334"/>
      <c r="R25" s="149"/>
      <c r="S25" s="149"/>
      <c r="T25" s="6"/>
      <c r="BC25" s="441" t="str">
        <f t="shared" si="15"/>
        <v/>
      </c>
    </row>
    <row r="26" spans="1:60" s="390" customFormat="1" ht="12" customHeight="1" x14ac:dyDescent="0.15">
      <c r="A26" s="396" t="s">
        <v>2870</v>
      </c>
      <c r="B26" s="396" t="s">
        <v>2598</v>
      </c>
      <c r="C26" s="396" t="s">
        <v>2742</v>
      </c>
      <c r="D26" s="396" t="s">
        <v>978</v>
      </c>
      <c r="E26" s="396" t="s">
        <v>2609</v>
      </c>
      <c r="F26" s="382">
        <v>41492</v>
      </c>
      <c r="G26" s="424"/>
      <c r="H26" s="538"/>
      <c r="I26" s="538"/>
      <c r="J26" s="538"/>
      <c r="K26" s="538"/>
      <c r="L26" s="422"/>
      <c r="M26" s="541" t="str">
        <f t="shared" ref="M26:M32" si="16">IF(H26="","--",L26/H26)</f>
        <v>--</v>
      </c>
      <c r="N26" s="438" t="str">
        <f t="shared" ref="N26:N32" si="17">IF(H26="","--",I26/H26)</f>
        <v>--</v>
      </c>
      <c r="O26" s="438" t="str">
        <f t="shared" ref="O26:O32" si="18">IF(H26="","--",SUM(I26:K26)/H26)</f>
        <v>--</v>
      </c>
      <c r="P26" s="356" t="s">
        <v>4740</v>
      </c>
      <c r="Q26" s="422"/>
      <c r="R26" s="393"/>
      <c r="S26" s="393"/>
      <c r="T26" s="393"/>
      <c r="U26" s="392"/>
      <c r="V26" s="392"/>
      <c r="W26" s="392"/>
      <c r="X26" s="392"/>
      <c r="Y26" s="392"/>
      <c r="Z26" s="392"/>
      <c r="AA26" s="392"/>
      <c r="AB26" s="392"/>
      <c r="AC26" s="392"/>
      <c r="AD26" s="392"/>
      <c r="AE26" s="392"/>
      <c r="AF26" s="392"/>
      <c r="AG26" s="392"/>
      <c r="AH26" s="392"/>
      <c r="AI26" s="392"/>
      <c r="AJ26" s="392"/>
      <c r="AK26" s="392"/>
      <c r="AL26" s="392"/>
      <c r="AM26" s="392"/>
      <c r="AN26" s="392"/>
      <c r="AO26" s="392"/>
      <c r="AP26" s="392"/>
      <c r="AQ26" s="392"/>
      <c r="AR26" s="392"/>
      <c r="AS26" s="392"/>
      <c r="AT26" s="392"/>
      <c r="AU26" s="373"/>
      <c r="AV26" s="373"/>
      <c r="AW26" s="373"/>
      <c r="AX26" s="373"/>
      <c r="AY26" s="373"/>
      <c r="AZ26" s="373"/>
      <c r="BA26" s="373"/>
      <c r="BB26" s="373"/>
      <c r="BC26" s="373"/>
      <c r="BD26" s="373"/>
      <c r="BE26" s="373"/>
      <c r="BF26" s="373"/>
    </row>
    <row r="27" spans="1:60" s="140" customFormat="1" ht="12" customHeight="1" x14ac:dyDescent="0.15">
      <c r="A27" s="58" t="s">
        <v>2891</v>
      </c>
      <c r="B27" s="58" t="s">
        <v>4143</v>
      </c>
      <c r="C27" s="58" t="s">
        <v>2689</v>
      </c>
      <c r="D27" s="58" t="s">
        <v>2688</v>
      </c>
      <c r="E27" s="58" t="s">
        <v>2609</v>
      </c>
      <c r="F27" s="137">
        <v>41568</v>
      </c>
      <c r="G27" s="138"/>
      <c r="H27" s="139">
        <v>6</v>
      </c>
      <c r="I27" s="139">
        <v>1</v>
      </c>
      <c r="J27" s="139">
        <v>2</v>
      </c>
      <c r="K27" s="139">
        <v>1</v>
      </c>
      <c r="L27" s="191">
        <f>1195+1879+5373+3641+99+99</f>
        <v>12286</v>
      </c>
      <c r="M27" s="191">
        <f t="shared" si="16"/>
        <v>2047.6666666666667</v>
      </c>
      <c r="N27" s="330">
        <f t="shared" si="17"/>
        <v>0.16666666666666666</v>
      </c>
      <c r="O27" s="330">
        <f t="shared" si="18"/>
        <v>0.66666666666666663</v>
      </c>
      <c r="P27" s="330" t="s">
        <v>5042</v>
      </c>
      <c r="Q27" s="330"/>
      <c r="R27" s="56" t="s">
        <v>5551</v>
      </c>
      <c r="S27" s="330"/>
      <c r="T27" s="56"/>
      <c r="U27" s="56"/>
      <c r="V27" s="58"/>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BC27" s="441"/>
      <c r="BE27" s="141"/>
      <c r="BH27" s="141"/>
    </row>
    <row r="28" spans="1:60" s="90" customFormat="1" ht="12" customHeight="1" x14ac:dyDescent="0.15">
      <c r="A28" s="142" t="s">
        <v>2895</v>
      </c>
      <c r="B28" s="142" t="s">
        <v>2589</v>
      </c>
      <c r="C28" s="142" t="s">
        <v>2753</v>
      </c>
      <c r="D28" s="142" t="s">
        <v>2752</v>
      </c>
      <c r="E28" s="142" t="s">
        <v>2892</v>
      </c>
      <c r="F28" s="143">
        <v>41477</v>
      </c>
      <c r="G28" s="144"/>
      <c r="H28" s="145">
        <v>2</v>
      </c>
      <c r="I28" s="145">
        <v>0</v>
      </c>
      <c r="J28" s="145">
        <v>0</v>
      </c>
      <c r="K28" s="145">
        <v>0</v>
      </c>
      <c r="L28" s="146">
        <f>546+99</f>
        <v>645</v>
      </c>
      <c r="M28" s="146">
        <f t="shared" si="16"/>
        <v>322.5</v>
      </c>
      <c r="N28" s="628">
        <f t="shared" si="17"/>
        <v>0</v>
      </c>
      <c r="O28" s="628">
        <f t="shared" si="18"/>
        <v>0</v>
      </c>
      <c r="P28" s="331" t="s">
        <v>5042</v>
      </c>
      <c r="Q28" s="331"/>
      <c r="R28" s="147"/>
      <c r="S28" s="147"/>
      <c r="T28" s="142"/>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BC28" s="441"/>
    </row>
    <row r="29" spans="1:60" s="90" customFormat="1" ht="12.75" customHeight="1" x14ac:dyDescent="0.15">
      <c r="A29" s="142" t="s">
        <v>2882</v>
      </c>
      <c r="B29" s="142" t="s">
        <v>2589</v>
      </c>
      <c r="C29" s="142" t="s">
        <v>2881</v>
      </c>
      <c r="D29" s="142" t="s">
        <v>2701</v>
      </c>
      <c r="E29" s="142" t="s">
        <v>2609</v>
      </c>
      <c r="F29" s="143">
        <v>41521</v>
      </c>
      <c r="G29" s="144"/>
      <c r="H29" s="145">
        <v>1</v>
      </c>
      <c r="I29" s="145">
        <v>0</v>
      </c>
      <c r="J29" s="145">
        <v>0</v>
      </c>
      <c r="K29" s="145">
        <v>0</v>
      </c>
      <c r="L29" s="146">
        <v>99</v>
      </c>
      <c r="M29" s="146">
        <f t="shared" si="16"/>
        <v>99</v>
      </c>
      <c r="N29" s="628">
        <f t="shared" si="17"/>
        <v>0</v>
      </c>
      <c r="O29" s="628">
        <f t="shared" si="18"/>
        <v>0</v>
      </c>
      <c r="P29" s="331" t="s">
        <v>5042</v>
      </c>
      <c r="Q29" s="331"/>
      <c r="R29" s="147"/>
      <c r="S29" s="147"/>
      <c r="T29" s="142"/>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BC29" s="441"/>
    </row>
    <row r="30" spans="1:60" s="90" customFormat="1" ht="12" customHeight="1" x14ac:dyDescent="0.15">
      <c r="A30" s="142" t="s">
        <v>2877</v>
      </c>
      <c r="B30" s="142" t="s">
        <v>2589</v>
      </c>
      <c r="C30" s="142" t="s">
        <v>2876</v>
      </c>
      <c r="D30" s="142" t="s">
        <v>2875</v>
      </c>
      <c r="E30" s="142" t="s">
        <v>2609</v>
      </c>
      <c r="F30" s="143">
        <v>41569</v>
      </c>
      <c r="G30" s="144"/>
      <c r="H30" s="145">
        <v>1</v>
      </c>
      <c r="I30" s="145">
        <v>0</v>
      </c>
      <c r="J30" s="145">
        <v>0</v>
      </c>
      <c r="K30" s="145">
        <v>0</v>
      </c>
      <c r="L30" s="146">
        <v>99</v>
      </c>
      <c r="M30" s="146">
        <f t="shared" si="16"/>
        <v>99</v>
      </c>
      <c r="N30" s="628">
        <f t="shared" si="17"/>
        <v>0</v>
      </c>
      <c r="O30" s="628">
        <f t="shared" si="18"/>
        <v>0</v>
      </c>
      <c r="P30" s="331" t="s">
        <v>5042</v>
      </c>
      <c r="Q30" s="331"/>
      <c r="R30" s="147"/>
      <c r="S30" s="147"/>
      <c r="T30" s="142"/>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BC30" s="441"/>
    </row>
    <row r="31" spans="1:60" s="90" customFormat="1" ht="12" customHeight="1" x14ac:dyDescent="0.15">
      <c r="A31" s="142" t="s">
        <v>2866</v>
      </c>
      <c r="B31" s="142" t="s">
        <v>2589</v>
      </c>
      <c r="C31" s="142" t="s">
        <v>2731</v>
      </c>
      <c r="D31" s="142" t="s">
        <v>755</v>
      </c>
      <c r="E31" s="142" t="s">
        <v>2609</v>
      </c>
      <c r="F31" s="143">
        <v>41458</v>
      </c>
      <c r="G31" s="144"/>
      <c r="H31" s="145">
        <v>1</v>
      </c>
      <c r="I31" s="145">
        <v>0</v>
      </c>
      <c r="J31" s="145">
        <v>0</v>
      </c>
      <c r="K31" s="145">
        <v>0</v>
      </c>
      <c r="L31" s="146">
        <v>65</v>
      </c>
      <c r="M31" s="146">
        <f t="shared" si="16"/>
        <v>65</v>
      </c>
      <c r="N31" s="628">
        <f t="shared" si="17"/>
        <v>0</v>
      </c>
      <c r="O31" s="628">
        <f t="shared" si="18"/>
        <v>0</v>
      </c>
      <c r="P31" s="331" t="s">
        <v>5048</v>
      </c>
      <c r="Q31" s="331"/>
      <c r="R31" s="147"/>
      <c r="S31" s="147"/>
      <c r="T31" s="142"/>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BC31" s="441"/>
    </row>
    <row r="32" spans="1:60" s="90" customFormat="1" ht="12" customHeight="1" x14ac:dyDescent="0.15">
      <c r="A32" s="142" t="s">
        <v>2855</v>
      </c>
      <c r="B32" s="142" t="s">
        <v>2589</v>
      </c>
      <c r="C32" s="142" t="s">
        <v>2854</v>
      </c>
      <c r="D32" s="142" t="s">
        <v>2853</v>
      </c>
      <c r="E32" s="142" t="s">
        <v>2852</v>
      </c>
      <c r="F32" s="143">
        <v>41556</v>
      </c>
      <c r="G32" s="144"/>
      <c r="H32" s="145">
        <v>3</v>
      </c>
      <c r="I32" s="145">
        <v>0</v>
      </c>
      <c r="J32" s="145">
        <v>0</v>
      </c>
      <c r="K32" s="145">
        <v>0</v>
      </c>
      <c r="L32" s="146">
        <f>559+99+99</f>
        <v>757</v>
      </c>
      <c r="M32" s="146">
        <f t="shared" si="16"/>
        <v>252.33333333333334</v>
      </c>
      <c r="N32" s="628">
        <f t="shared" si="17"/>
        <v>0</v>
      </c>
      <c r="O32" s="628">
        <f t="shared" si="18"/>
        <v>0</v>
      </c>
      <c r="P32" s="331" t="s">
        <v>5042</v>
      </c>
      <c r="Q32" s="331"/>
      <c r="R32" s="147"/>
      <c r="S32" s="147"/>
      <c r="T32" s="142"/>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BC32" s="441"/>
    </row>
    <row r="33" spans="1:58" s="390" customFormat="1" ht="12" customHeight="1" x14ac:dyDescent="0.15">
      <c r="A33" s="396"/>
      <c r="B33" s="396"/>
      <c r="C33" s="396"/>
      <c r="D33" s="396"/>
      <c r="E33" s="396"/>
      <c r="F33" s="382"/>
      <c r="G33" s="398"/>
      <c r="H33" s="538"/>
      <c r="I33" s="538"/>
      <c r="J33" s="538"/>
      <c r="K33" s="538"/>
      <c r="L33" s="398"/>
      <c r="M33" s="398"/>
      <c r="N33" s="398"/>
      <c r="O33" s="398"/>
      <c r="P33" s="356"/>
      <c r="Q33" s="394"/>
      <c r="R33" s="394"/>
      <c r="S33" s="393"/>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2"/>
      <c r="AQ33" s="392"/>
      <c r="AR33" s="392"/>
      <c r="AS33" s="392"/>
      <c r="AT33" s="392"/>
      <c r="AU33" s="373"/>
    </row>
    <row r="34" spans="1:58" s="390" customFormat="1" ht="12" customHeight="1" x14ac:dyDescent="0.15">
      <c r="A34" s="427" t="s">
        <v>1789</v>
      </c>
      <c r="B34" s="396"/>
      <c r="C34" s="396"/>
      <c r="D34" s="396"/>
      <c r="E34" s="396"/>
      <c r="F34" s="382"/>
      <c r="G34" s="398"/>
      <c r="H34" s="538"/>
      <c r="I34" s="538"/>
      <c r="J34" s="538"/>
      <c r="K34" s="538"/>
      <c r="L34" s="398"/>
      <c r="M34" s="398"/>
      <c r="N34" s="398"/>
      <c r="O34" s="398"/>
      <c r="P34" s="356"/>
      <c r="Q34" s="394"/>
      <c r="R34" s="394"/>
      <c r="S34" s="393"/>
      <c r="T34" s="392"/>
      <c r="U34" s="392"/>
      <c r="V34" s="392"/>
      <c r="W34" s="392"/>
      <c r="X34" s="392"/>
      <c r="Y34" s="392"/>
      <c r="Z34" s="392"/>
      <c r="AA34" s="392"/>
      <c r="AB34" s="392"/>
      <c r="AC34" s="392"/>
      <c r="AD34" s="392"/>
      <c r="AE34" s="392"/>
      <c r="AF34" s="392"/>
      <c r="AG34" s="392"/>
      <c r="AH34" s="392"/>
      <c r="AI34" s="392"/>
      <c r="AJ34" s="392"/>
      <c r="AK34" s="392"/>
      <c r="AL34" s="392"/>
      <c r="AM34" s="392"/>
      <c r="AN34" s="392"/>
      <c r="AO34" s="392"/>
      <c r="AP34" s="392"/>
      <c r="AQ34" s="392"/>
      <c r="AR34" s="392"/>
      <c r="AS34" s="392"/>
      <c r="AT34" s="392"/>
      <c r="AU34" s="373"/>
    </row>
    <row r="35" spans="1:58" s="390" customFormat="1" ht="12" customHeight="1" x14ac:dyDescent="0.15">
      <c r="A35" s="396" t="s">
        <v>2939</v>
      </c>
      <c r="B35" s="396" t="s">
        <v>2589</v>
      </c>
      <c r="C35" s="396" t="s">
        <v>2938</v>
      </c>
      <c r="D35" s="396" t="s">
        <v>2937</v>
      </c>
      <c r="E35" s="396" t="s">
        <v>2936</v>
      </c>
      <c r="F35" s="382">
        <v>41536</v>
      </c>
      <c r="G35" s="398"/>
      <c r="H35" s="538"/>
      <c r="I35" s="538"/>
      <c r="J35" s="538"/>
      <c r="K35" s="538"/>
      <c r="L35" s="398"/>
      <c r="M35" s="541" t="str">
        <f t="shared" ref="M35:M72" si="19">IF(H35="","--",L35/H35)</f>
        <v>--</v>
      </c>
      <c r="N35" s="438" t="str">
        <f t="shared" ref="N35:N85" si="20">IF(H35="","--",I35/H35)</f>
        <v>--</v>
      </c>
      <c r="O35" s="438" t="str">
        <f t="shared" ref="O35:O85" si="21">IF(H35="","--",SUM(I35:K35)/H35)</f>
        <v>--</v>
      </c>
      <c r="P35" s="356"/>
      <c r="Q35" s="394"/>
      <c r="R35" s="394"/>
      <c r="S35" s="393"/>
      <c r="T35" s="392"/>
      <c r="U35" s="392"/>
      <c r="V35" s="392"/>
      <c r="W35" s="392"/>
      <c r="X35" s="392"/>
      <c r="Y35" s="392"/>
      <c r="Z35" s="392"/>
      <c r="AA35" s="392"/>
      <c r="AB35" s="392"/>
      <c r="AC35" s="392"/>
      <c r="AD35" s="392"/>
      <c r="AE35" s="392"/>
      <c r="AF35" s="392"/>
      <c r="AG35" s="392"/>
      <c r="AH35" s="392"/>
      <c r="AI35" s="392"/>
      <c r="AJ35" s="392"/>
      <c r="AK35" s="392"/>
      <c r="AL35" s="392"/>
      <c r="AM35" s="392"/>
      <c r="AN35" s="392"/>
      <c r="AO35" s="392"/>
      <c r="AP35" s="392"/>
      <c r="AQ35" s="392"/>
      <c r="AR35" s="392"/>
      <c r="AS35" s="392"/>
      <c r="AT35" s="392"/>
      <c r="AU35" s="373"/>
    </row>
    <row r="36" spans="1:58" s="390" customFormat="1" ht="12" customHeight="1" x14ac:dyDescent="0.15">
      <c r="A36" s="396" t="s">
        <v>2935</v>
      </c>
      <c r="B36" s="396" t="s">
        <v>2589</v>
      </c>
      <c r="C36" s="396" t="s">
        <v>2934</v>
      </c>
      <c r="D36" s="396" t="s">
        <v>2933</v>
      </c>
      <c r="E36" s="396" t="s">
        <v>2929</v>
      </c>
      <c r="F36" s="382">
        <v>41549</v>
      </c>
      <c r="G36" s="424"/>
      <c r="H36" s="538"/>
      <c r="I36" s="538"/>
      <c r="J36" s="538"/>
      <c r="K36" s="538"/>
      <c r="L36" s="422"/>
      <c r="M36" s="541" t="str">
        <f t="shared" si="19"/>
        <v>--</v>
      </c>
      <c r="N36" s="438" t="str">
        <f t="shared" si="20"/>
        <v>--</v>
      </c>
      <c r="O36" s="438" t="str">
        <f t="shared" si="21"/>
        <v>--</v>
      </c>
      <c r="P36" s="356"/>
      <c r="Q36" s="422"/>
      <c r="R36" s="393"/>
      <c r="S36" s="393"/>
      <c r="T36" s="393"/>
      <c r="U36" s="392"/>
      <c r="V36" s="392"/>
      <c r="W36" s="392"/>
      <c r="X36" s="392"/>
      <c r="Y36" s="392"/>
      <c r="Z36" s="392"/>
      <c r="AA36" s="392"/>
      <c r="AB36" s="392"/>
      <c r="AC36" s="392"/>
      <c r="AD36" s="392"/>
      <c r="AE36" s="392"/>
      <c r="AF36" s="392"/>
      <c r="AG36" s="392"/>
      <c r="AH36" s="392"/>
      <c r="AI36" s="392"/>
      <c r="AJ36" s="392"/>
      <c r="AK36" s="392"/>
      <c r="AL36" s="392"/>
      <c r="AM36" s="392"/>
      <c r="AN36" s="392"/>
      <c r="AO36" s="392"/>
      <c r="AP36" s="392"/>
      <c r="AQ36" s="392"/>
      <c r="AR36" s="392"/>
      <c r="AS36" s="392"/>
      <c r="AT36" s="392"/>
      <c r="AU36" s="373"/>
      <c r="AV36" s="373"/>
      <c r="AW36" s="373"/>
      <c r="AX36" s="373"/>
      <c r="AY36" s="373"/>
      <c r="AZ36" s="373"/>
      <c r="BA36" s="373"/>
      <c r="BB36" s="373"/>
      <c r="BC36" s="373"/>
      <c r="BD36" s="373"/>
      <c r="BE36" s="373"/>
      <c r="BF36" s="373"/>
    </row>
    <row r="37" spans="1:58" s="390" customFormat="1" ht="12" customHeight="1" x14ac:dyDescent="0.15">
      <c r="A37" s="396" t="s">
        <v>2919</v>
      </c>
      <c r="B37" s="396" t="s">
        <v>2589</v>
      </c>
      <c r="C37" s="396" t="s">
        <v>2918</v>
      </c>
      <c r="D37" s="396" t="s">
        <v>2917</v>
      </c>
      <c r="E37" s="396" t="s">
        <v>2546</v>
      </c>
      <c r="F37" s="382">
        <v>41919</v>
      </c>
      <c r="G37" s="424"/>
      <c r="H37" s="538"/>
      <c r="I37" s="538"/>
      <c r="J37" s="538"/>
      <c r="K37" s="538"/>
      <c r="L37" s="422"/>
      <c r="M37" s="541" t="str">
        <f t="shared" si="19"/>
        <v>--</v>
      </c>
      <c r="N37" s="438" t="str">
        <f t="shared" si="20"/>
        <v>--</v>
      </c>
      <c r="O37" s="438" t="str">
        <f t="shared" si="21"/>
        <v>--</v>
      </c>
      <c r="P37" s="356"/>
      <c r="Q37" s="422"/>
      <c r="R37" s="393"/>
      <c r="S37" s="393"/>
      <c r="T37" s="393"/>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73"/>
      <c r="AV37" s="373"/>
      <c r="AW37" s="373"/>
      <c r="AX37" s="373"/>
      <c r="AY37" s="373"/>
      <c r="AZ37" s="373"/>
      <c r="BA37" s="373"/>
      <c r="BB37" s="373"/>
      <c r="BC37" s="373"/>
      <c r="BD37" s="373"/>
      <c r="BE37" s="373"/>
      <c r="BF37" s="373"/>
    </row>
    <row r="38" spans="1:58" s="390" customFormat="1" ht="12" customHeight="1" x14ac:dyDescent="0.15">
      <c r="A38" s="396" t="s">
        <v>2916</v>
      </c>
      <c r="B38" s="396" t="s">
        <v>2598</v>
      </c>
      <c r="C38" s="396" t="s">
        <v>2915</v>
      </c>
      <c r="D38" s="396" t="s">
        <v>2582</v>
      </c>
      <c r="E38" s="396" t="s">
        <v>2910</v>
      </c>
      <c r="F38" s="382">
        <v>41522</v>
      </c>
      <c r="G38" s="424"/>
      <c r="H38" s="538"/>
      <c r="I38" s="538"/>
      <c r="J38" s="538"/>
      <c r="K38" s="538"/>
      <c r="L38" s="422"/>
      <c r="M38" s="541" t="str">
        <f t="shared" si="19"/>
        <v>--</v>
      </c>
      <c r="N38" s="438" t="str">
        <f t="shared" si="20"/>
        <v>--</v>
      </c>
      <c r="O38" s="438" t="str">
        <f t="shared" si="21"/>
        <v>--</v>
      </c>
      <c r="P38" s="356"/>
      <c r="Q38" s="422"/>
      <c r="R38" s="393"/>
      <c r="S38" s="393"/>
      <c r="T38" s="393"/>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c r="AS38" s="392"/>
      <c r="AT38" s="392"/>
      <c r="AU38" s="373"/>
      <c r="AV38" s="373"/>
      <c r="AW38" s="373"/>
      <c r="AX38" s="373"/>
      <c r="AY38" s="373"/>
      <c r="AZ38" s="373"/>
      <c r="BA38" s="373"/>
      <c r="BB38" s="373"/>
      <c r="BC38" s="373"/>
      <c r="BD38" s="373"/>
      <c r="BE38" s="373"/>
      <c r="BF38" s="373"/>
    </row>
    <row r="39" spans="1:58" s="390" customFormat="1" ht="12" customHeight="1" x14ac:dyDescent="0.15">
      <c r="A39" s="396" t="s">
        <v>2914</v>
      </c>
      <c r="B39" s="396" t="s">
        <v>2589</v>
      </c>
      <c r="C39" s="396" t="s">
        <v>2579</v>
      </c>
      <c r="D39" s="396" t="s">
        <v>2578</v>
      </c>
      <c r="E39" s="396" t="s">
        <v>2546</v>
      </c>
      <c r="F39" s="382">
        <v>41564</v>
      </c>
      <c r="G39" s="424"/>
      <c r="H39" s="538"/>
      <c r="I39" s="538"/>
      <c r="J39" s="538"/>
      <c r="K39" s="538"/>
      <c r="L39" s="422"/>
      <c r="M39" s="541" t="str">
        <f t="shared" si="19"/>
        <v>--</v>
      </c>
      <c r="N39" s="438" t="str">
        <f t="shared" si="20"/>
        <v>--</v>
      </c>
      <c r="O39" s="438" t="str">
        <f t="shared" si="21"/>
        <v>--</v>
      </c>
      <c r="P39" s="356"/>
      <c r="Q39" s="422"/>
      <c r="R39" s="393"/>
      <c r="S39" s="393"/>
      <c r="T39" s="393"/>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73"/>
      <c r="AV39" s="373"/>
      <c r="AW39" s="373"/>
      <c r="AX39" s="373"/>
      <c r="AY39" s="373"/>
      <c r="AZ39" s="373"/>
      <c r="BA39" s="373"/>
      <c r="BB39" s="373"/>
      <c r="BC39" s="373"/>
      <c r="BD39" s="373"/>
      <c r="BE39" s="373"/>
      <c r="BF39" s="373"/>
    </row>
    <row r="40" spans="1:58" s="390" customFormat="1" ht="12" customHeight="1" x14ac:dyDescent="0.15">
      <c r="A40" s="396" t="s">
        <v>2913</v>
      </c>
      <c r="B40" s="396" t="s">
        <v>2589</v>
      </c>
      <c r="C40" s="396" t="s">
        <v>2912</v>
      </c>
      <c r="D40" s="396" t="s">
        <v>2911</v>
      </c>
      <c r="E40" s="396" t="s">
        <v>2910</v>
      </c>
      <c r="F40" s="382">
        <v>41576</v>
      </c>
      <c r="G40" s="424"/>
      <c r="H40" s="538"/>
      <c r="I40" s="538"/>
      <c r="J40" s="538"/>
      <c r="K40" s="538"/>
      <c r="L40" s="422"/>
      <c r="M40" s="541" t="str">
        <f t="shared" si="19"/>
        <v>--</v>
      </c>
      <c r="N40" s="438" t="str">
        <f t="shared" si="20"/>
        <v>--</v>
      </c>
      <c r="O40" s="438" t="str">
        <f t="shared" si="21"/>
        <v>--</v>
      </c>
      <c r="P40" s="356"/>
      <c r="Q40" s="422"/>
      <c r="R40" s="393"/>
      <c r="S40" s="393"/>
      <c r="T40" s="393"/>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2"/>
      <c r="AR40" s="392"/>
      <c r="AS40" s="392"/>
      <c r="AT40" s="392"/>
      <c r="AU40" s="373"/>
      <c r="AV40" s="373"/>
      <c r="AW40" s="373"/>
      <c r="AX40" s="373"/>
      <c r="AY40" s="373"/>
      <c r="AZ40" s="373"/>
      <c r="BA40" s="373"/>
      <c r="BB40" s="373"/>
      <c r="BC40" s="373"/>
      <c r="BD40" s="373"/>
      <c r="BE40" s="373"/>
      <c r="BF40" s="373"/>
    </row>
    <row r="41" spans="1:58" s="390" customFormat="1" ht="12" customHeight="1" x14ac:dyDescent="0.15">
      <c r="A41" s="396" t="s">
        <v>2907</v>
      </c>
      <c r="B41" s="396" t="s">
        <v>2598</v>
      </c>
      <c r="C41" s="396" t="s">
        <v>2906</v>
      </c>
      <c r="D41" s="396" t="s">
        <v>903</v>
      </c>
      <c r="E41" s="396" t="s">
        <v>2905</v>
      </c>
      <c r="F41" s="382">
        <v>41563</v>
      </c>
      <c r="G41" s="424"/>
      <c r="H41" s="538"/>
      <c r="I41" s="538"/>
      <c r="J41" s="538"/>
      <c r="K41" s="538"/>
      <c r="L41" s="422"/>
      <c r="M41" s="541" t="str">
        <f t="shared" si="19"/>
        <v>--</v>
      </c>
      <c r="N41" s="438" t="str">
        <f t="shared" si="20"/>
        <v>--</v>
      </c>
      <c r="O41" s="438" t="str">
        <f t="shared" si="21"/>
        <v>--</v>
      </c>
      <c r="P41" s="356"/>
      <c r="Q41" s="422"/>
      <c r="R41" s="393"/>
      <c r="S41" s="393"/>
      <c r="T41" s="393"/>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73"/>
      <c r="AV41" s="373"/>
      <c r="AW41" s="373"/>
      <c r="AX41" s="373"/>
      <c r="AY41" s="373"/>
      <c r="AZ41" s="373"/>
      <c r="BA41" s="373"/>
      <c r="BB41" s="373"/>
      <c r="BC41" s="373"/>
      <c r="BD41" s="373"/>
      <c r="BE41" s="373"/>
      <c r="BF41" s="373"/>
    </row>
    <row r="42" spans="1:58" s="390" customFormat="1" ht="12" customHeight="1" x14ac:dyDescent="0.15">
      <c r="A42" s="396" t="s">
        <v>2904</v>
      </c>
      <c r="B42" s="396" t="s">
        <v>2589</v>
      </c>
      <c r="C42" s="396" t="s">
        <v>2903</v>
      </c>
      <c r="D42" s="396" t="s">
        <v>2902</v>
      </c>
      <c r="E42" s="396" t="s">
        <v>2901</v>
      </c>
      <c r="F42" s="382">
        <v>41534</v>
      </c>
      <c r="G42" s="424"/>
      <c r="H42" s="538"/>
      <c r="I42" s="538"/>
      <c r="J42" s="538"/>
      <c r="K42" s="538"/>
      <c r="L42" s="422"/>
      <c r="M42" s="541" t="str">
        <f t="shared" si="19"/>
        <v>--</v>
      </c>
      <c r="N42" s="438" t="str">
        <f t="shared" si="20"/>
        <v>--</v>
      </c>
      <c r="O42" s="438" t="str">
        <f t="shared" si="21"/>
        <v>--</v>
      </c>
      <c r="P42" s="356"/>
      <c r="Q42" s="422"/>
      <c r="R42" s="393"/>
      <c r="S42" s="393"/>
      <c r="T42" s="393"/>
      <c r="U42" s="392"/>
      <c r="V42" s="392"/>
      <c r="W42" s="392"/>
      <c r="X42" s="392"/>
      <c r="Y42" s="392"/>
      <c r="Z42" s="392"/>
      <c r="AA42" s="392"/>
      <c r="AB42" s="392"/>
      <c r="AC42" s="392"/>
      <c r="AD42" s="392"/>
      <c r="AE42" s="392"/>
      <c r="AF42" s="392"/>
      <c r="AG42" s="392"/>
      <c r="AH42" s="392"/>
      <c r="AI42" s="392"/>
      <c r="AJ42" s="392"/>
      <c r="AK42" s="392"/>
      <c r="AL42" s="392"/>
      <c r="AM42" s="392"/>
      <c r="AN42" s="392"/>
      <c r="AO42" s="392"/>
      <c r="AP42" s="392"/>
      <c r="AQ42" s="392"/>
      <c r="AR42" s="392"/>
      <c r="AS42" s="392"/>
      <c r="AT42" s="392"/>
      <c r="AU42" s="373"/>
      <c r="AV42" s="373"/>
      <c r="AW42" s="373"/>
      <c r="AX42" s="373"/>
      <c r="AY42" s="373"/>
      <c r="AZ42" s="373"/>
      <c r="BA42" s="373"/>
      <c r="BB42" s="373"/>
      <c r="BC42" s="373"/>
      <c r="BD42" s="373"/>
      <c r="BE42" s="373"/>
      <c r="BF42" s="373"/>
    </row>
    <row r="43" spans="1:58" s="390" customFormat="1" ht="12" customHeight="1" x14ac:dyDescent="0.15">
      <c r="A43" s="396" t="s">
        <v>2900</v>
      </c>
      <c r="B43" s="396" t="s">
        <v>2589</v>
      </c>
      <c r="C43" s="396" t="s">
        <v>2767</v>
      </c>
      <c r="D43" s="396" t="s">
        <v>2766</v>
      </c>
      <c r="E43" s="396" t="s">
        <v>2892</v>
      </c>
      <c r="F43" s="382">
        <v>41538</v>
      </c>
      <c r="G43" s="424"/>
      <c r="H43" s="538"/>
      <c r="I43" s="538"/>
      <c r="J43" s="538"/>
      <c r="K43" s="538"/>
      <c r="L43" s="422"/>
      <c r="M43" s="541" t="str">
        <f t="shared" si="19"/>
        <v>--</v>
      </c>
      <c r="N43" s="438" t="str">
        <f t="shared" si="20"/>
        <v>--</v>
      </c>
      <c r="O43" s="438" t="str">
        <f t="shared" si="21"/>
        <v>--</v>
      </c>
      <c r="P43" s="356"/>
      <c r="Q43" s="422"/>
      <c r="R43" s="393"/>
      <c r="S43" s="393"/>
      <c r="T43" s="393"/>
      <c r="U43" s="392"/>
      <c r="V43" s="392"/>
      <c r="W43" s="392"/>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73"/>
      <c r="AV43" s="373"/>
      <c r="AW43" s="373"/>
      <c r="AX43" s="373"/>
      <c r="AY43" s="373"/>
      <c r="AZ43" s="373"/>
      <c r="BA43" s="373"/>
      <c r="BB43" s="373"/>
      <c r="BC43" s="373"/>
      <c r="BD43" s="373"/>
      <c r="BE43" s="373"/>
      <c r="BF43" s="373"/>
    </row>
    <row r="44" spans="1:58" s="390" customFormat="1" ht="12" customHeight="1" x14ac:dyDescent="0.15">
      <c r="A44" s="396" t="s">
        <v>2897</v>
      </c>
      <c r="B44" s="396" t="s">
        <v>2589</v>
      </c>
      <c r="C44" s="396" t="s">
        <v>2770</v>
      </c>
      <c r="D44" s="396" t="s">
        <v>2769</v>
      </c>
      <c r="E44" s="396" t="s">
        <v>2892</v>
      </c>
      <c r="F44" s="382">
        <v>41476</v>
      </c>
      <c r="G44" s="424"/>
      <c r="H44" s="538"/>
      <c r="I44" s="538"/>
      <c r="J44" s="538"/>
      <c r="K44" s="538"/>
      <c r="L44" s="422"/>
      <c r="M44" s="541" t="str">
        <f t="shared" si="19"/>
        <v>--</v>
      </c>
      <c r="N44" s="438" t="str">
        <f t="shared" si="20"/>
        <v>--</v>
      </c>
      <c r="O44" s="438" t="str">
        <f t="shared" si="21"/>
        <v>--</v>
      </c>
      <c r="P44" s="356"/>
      <c r="Q44" s="422"/>
      <c r="R44" s="393"/>
      <c r="S44" s="393"/>
      <c r="T44" s="393"/>
      <c r="U44" s="392"/>
      <c r="V44" s="392"/>
      <c r="W44" s="392"/>
      <c r="X44" s="392"/>
      <c r="Y44" s="392"/>
      <c r="Z44" s="392"/>
      <c r="AA44" s="392"/>
      <c r="AB44" s="392"/>
      <c r="AC44" s="392"/>
      <c r="AD44" s="392"/>
      <c r="AE44" s="392"/>
      <c r="AF44" s="392"/>
      <c r="AG44" s="392"/>
      <c r="AH44" s="392"/>
      <c r="AI44" s="392"/>
      <c r="AJ44" s="392"/>
      <c r="AK44" s="392"/>
      <c r="AL44" s="392"/>
      <c r="AM44" s="392"/>
      <c r="AN44" s="392"/>
      <c r="AO44" s="392"/>
      <c r="AP44" s="392"/>
      <c r="AQ44" s="392"/>
      <c r="AR44" s="392"/>
      <c r="AS44" s="392"/>
      <c r="AT44" s="392"/>
      <c r="AU44" s="373"/>
      <c r="AV44" s="373"/>
      <c r="AW44" s="373"/>
      <c r="AX44" s="373"/>
      <c r="AY44" s="373"/>
      <c r="AZ44" s="373"/>
      <c r="BA44" s="373"/>
      <c r="BB44" s="373"/>
      <c r="BC44" s="373"/>
      <c r="BD44" s="373"/>
      <c r="BE44" s="373"/>
      <c r="BF44" s="373"/>
    </row>
    <row r="45" spans="1:58" s="390" customFormat="1" ht="12" customHeight="1" x14ac:dyDescent="0.15">
      <c r="A45" s="396" t="s">
        <v>2896</v>
      </c>
      <c r="B45" s="396" t="s">
        <v>2589</v>
      </c>
      <c r="C45" s="396" t="s">
        <v>2777</v>
      </c>
      <c r="D45" s="396" t="s">
        <v>2639</v>
      </c>
      <c r="E45" s="396" t="s">
        <v>2892</v>
      </c>
      <c r="F45" s="382">
        <v>41473</v>
      </c>
      <c r="G45" s="424"/>
      <c r="H45" s="538"/>
      <c r="I45" s="538"/>
      <c r="J45" s="538"/>
      <c r="K45" s="538"/>
      <c r="L45" s="422"/>
      <c r="M45" s="541" t="str">
        <f t="shared" si="19"/>
        <v>--</v>
      </c>
      <c r="N45" s="438" t="str">
        <f t="shared" si="20"/>
        <v>--</v>
      </c>
      <c r="O45" s="438" t="str">
        <f t="shared" si="21"/>
        <v>--</v>
      </c>
      <c r="P45" s="356"/>
      <c r="Q45" s="422"/>
      <c r="R45" s="393"/>
      <c r="S45" s="393"/>
      <c r="T45" s="393"/>
      <c r="U45" s="392"/>
      <c r="V45" s="392"/>
      <c r="W45" s="392"/>
      <c r="X45" s="392"/>
      <c r="Y45" s="392"/>
      <c r="Z45" s="392"/>
      <c r="AA45" s="392"/>
      <c r="AB45" s="392"/>
      <c r="AC45" s="392"/>
      <c r="AD45" s="392"/>
      <c r="AE45" s="392"/>
      <c r="AF45" s="392"/>
      <c r="AG45" s="392"/>
      <c r="AH45" s="392"/>
      <c r="AI45" s="392"/>
      <c r="AJ45" s="392"/>
      <c r="AK45" s="392"/>
      <c r="AL45" s="392"/>
      <c r="AM45" s="392"/>
      <c r="AN45" s="392"/>
      <c r="AO45" s="392"/>
      <c r="AP45" s="392"/>
      <c r="AQ45" s="392"/>
      <c r="AR45" s="392"/>
      <c r="AS45" s="392"/>
      <c r="AT45" s="392"/>
      <c r="AU45" s="373"/>
      <c r="AV45" s="373"/>
      <c r="AW45" s="373"/>
      <c r="AX45" s="373"/>
      <c r="AY45" s="373"/>
      <c r="AZ45" s="373"/>
      <c r="BA45" s="373"/>
      <c r="BB45" s="373"/>
      <c r="BC45" s="373"/>
      <c r="BD45" s="373"/>
      <c r="BE45" s="373"/>
      <c r="BF45" s="373"/>
    </row>
    <row r="46" spans="1:58" s="390" customFormat="1" ht="12" customHeight="1" x14ac:dyDescent="0.15">
      <c r="A46" s="396" t="s">
        <v>2890</v>
      </c>
      <c r="B46" s="396" t="s">
        <v>2598</v>
      </c>
      <c r="C46" s="396" t="s">
        <v>2889</v>
      </c>
      <c r="D46" s="396" t="s">
        <v>2628</v>
      </c>
      <c r="E46" s="396" t="s">
        <v>2609</v>
      </c>
      <c r="F46" s="382">
        <v>41567</v>
      </c>
      <c r="G46" s="424"/>
      <c r="H46" s="538"/>
      <c r="I46" s="538"/>
      <c r="J46" s="538"/>
      <c r="K46" s="538"/>
      <c r="L46" s="422"/>
      <c r="M46" s="541" t="str">
        <f t="shared" si="19"/>
        <v>--</v>
      </c>
      <c r="N46" s="438" t="str">
        <f t="shared" si="20"/>
        <v>--</v>
      </c>
      <c r="O46" s="438" t="str">
        <f t="shared" si="21"/>
        <v>--</v>
      </c>
      <c r="P46" s="356"/>
      <c r="Q46" s="422"/>
      <c r="R46" s="393"/>
      <c r="S46" s="393"/>
      <c r="T46" s="393"/>
      <c r="U46" s="392"/>
      <c r="V46" s="392"/>
      <c r="W46" s="392"/>
      <c r="X46" s="392"/>
      <c r="Y46" s="392"/>
      <c r="Z46" s="392"/>
      <c r="AA46" s="392"/>
      <c r="AB46" s="392"/>
      <c r="AC46" s="392"/>
      <c r="AD46" s="392"/>
      <c r="AE46" s="392"/>
      <c r="AF46" s="392"/>
      <c r="AG46" s="392"/>
      <c r="AH46" s="392"/>
      <c r="AI46" s="392"/>
      <c r="AJ46" s="392"/>
      <c r="AK46" s="392"/>
      <c r="AL46" s="392"/>
      <c r="AM46" s="392"/>
      <c r="AN46" s="392"/>
      <c r="AO46" s="392"/>
      <c r="AP46" s="392"/>
      <c r="AQ46" s="392"/>
      <c r="AR46" s="392"/>
      <c r="AS46" s="392"/>
      <c r="AT46" s="392"/>
      <c r="AU46" s="373"/>
      <c r="AV46" s="373"/>
      <c r="AW46" s="373"/>
      <c r="AX46" s="373"/>
      <c r="AY46" s="373"/>
      <c r="AZ46" s="373"/>
      <c r="BA46" s="373"/>
      <c r="BB46" s="373"/>
      <c r="BC46" s="373"/>
      <c r="BD46" s="373"/>
      <c r="BE46" s="373"/>
      <c r="BF46" s="373"/>
    </row>
    <row r="47" spans="1:58" s="390" customFormat="1" ht="12" customHeight="1" x14ac:dyDescent="0.15">
      <c r="A47" s="396" t="s">
        <v>2888</v>
      </c>
      <c r="B47" s="396" t="s">
        <v>2598</v>
      </c>
      <c r="C47" s="396" t="s">
        <v>2650</v>
      </c>
      <c r="D47" s="396" t="s">
        <v>2649</v>
      </c>
      <c r="E47" s="396" t="s">
        <v>2609</v>
      </c>
      <c r="F47" s="382">
        <v>41494</v>
      </c>
      <c r="G47" s="424"/>
      <c r="H47" s="538"/>
      <c r="I47" s="538"/>
      <c r="J47" s="538"/>
      <c r="K47" s="538"/>
      <c r="L47" s="422"/>
      <c r="M47" s="541" t="str">
        <f t="shared" si="19"/>
        <v>--</v>
      </c>
      <c r="N47" s="438" t="str">
        <f t="shared" si="20"/>
        <v>--</v>
      </c>
      <c r="O47" s="438" t="str">
        <f t="shared" si="21"/>
        <v>--</v>
      </c>
      <c r="P47" s="356"/>
      <c r="Q47" s="422"/>
      <c r="R47" s="393"/>
      <c r="S47" s="393"/>
      <c r="T47" s="393"/>
      <c r="U47" s="392"/>
      <c r="V47" s="392"/>
      <c r="W47" s="392"/>
      <c r="X47" s="392"/>
      <c r="Y47" s="392"/>
      <c r="Z47" s="392"/>
      <c r="AA47" s="392"/>
      <c r="AB47" s="392"/>
      <c r="AC47" s="392"/>
      <c r="AD47" s="392"/>
      <c r="AE47" s="392"/>
      <c r="AF47" s="392"/>
      <c r="AG47" s="392"/>
      <c r="AH47" s="392"/>
      <c r="AI47" s="392"/>
      <c r="AJ47" s="392"/>
      <c r="AK47" s="392"/>
      <c r="AL47" s="392"/>
      <c r="AM47" s="392"/>
      <c r="AN47" s="392"/>
      <c r="AO47" s="392"/>
      <c r="AP47" s="392"/>
      <c r="AQ47" s="392"/>
      <c r="AR47" s="392"/>
      <c r="AS47" s="392"/>
      <c r="AT47" s="392"/>
      <c r="AU47" s="373"/>
      <c r="AV47" s="373"/>
      <c r="AW47" s="373"/>
      <c r="AX47" s="373"/>
      <c r="AY47" s="373"/>
      <c r="AZ47" s="373"/>
      <c r="BA47" s="373"/>
      <c r="BB47" s="373"/>
      <c r="BC47" s="373"/>
      <c r="BD47" s="373"/>
      <c r="BE47" s="373"/>
      <c r="BF47" s="373"/>
    </row>
    <row r="48" spans="1:58" s="390" customFormat="1" ht="12" customHeight="1" x14ac:dyDescent="0.15">
      <c r="A48" s="396" t="s">
        <v>2885</v>
      </c>
      <c r="B48" s="396" t="s">
        <v>2589</v>
      </c>
      <c r="C48" s="396" t="s">
        <v>2692</v>
      </c>
      <c r="D48" s="396" t="s">
        <v>2884</v>
      </c>
      <c r="E48" s="396" t="s">
        <v>2609</v>
      </c>
      <c r="F48" s="382">
        <v>41564</v>
      </c>
      <c r="G48" s="424"/>
      <c r="H48" s="538"/>
      <c r="I48" s="538"/>
      <c r="J48" s="538"/>
      <c r="K48" s="538"/>
      <c r="L48" s="422"/>
      <c r="M48" s="541" t="str">
        <f t="shared" si="19"/>
        <v>--</v>
      </c>
      <c r="N48" s="438" t="str">
        <f t="shared" si="20"/>
        <v>--</v>
      </c>
      <c r="O48" s="438" t="str">
        <f t="shared" si="21"/>
        <v>--</v>
      </c>
      <c r="P48" s="356"/>
      <c r="Q48" s="422"/>
      <c r="R48" s="393"/>
      <c r="S48" s="393"/>
      <c r="T48" s="393"/>
      <c r="U48" s="392"/>
      <c r="V48" s="392"/>
      <c r="W48" s="392"/>
      <c r="X48" s="392"/>
      <c r="Y48" s="392"/>
      <c r="Z48" s="392"/>
      <c r="AA48" s="392"/>
      <c r="AB48" s="392"/>
      <c r="AC48" s="392"/>
      <c r="AD48" s="392"/>
      <c r="AE48" s="392"/>
      <c r="AF48" s="392"/>
      <c r="AG48" s="392"/>
      <c r="AH48" s="392"/>
      <c r="AI48" s="392"/>
      <c r="AJ48" s="392"/>
      <c r="AK48" s="392"/>
      <c r="AL48" s="392"/>
      <c r="AM48" s="392"/>
      <c r="AN48" s="392"/>
      <c r="AO48" s="392"/>
      <c r="AP48" s="392"/>
      <c r="AQ48" s="392"/>
      <c r="AR48" s="392"/>
      <c r="AS48" s="392"/>
      <c r="AT48" s="392"/>
      <c r="AU48" s="373"/>
      <c r="AV48" s="373"/>
      <c r="AW48" s="373"/>
      <c r="AX48" s="373"/>
      <c r="AY48" s="373"/>
      <c r="AZ48" s="373"/>
      <c r="BA48" s="373"/>
      <c r="BB48" s="373"/>
      <c r="BC48" s="373"/>
      <c r="BD48" s="373"/>
      <c r="BE48" s="373"/>
      <c r="BF48" s="373"/>
    </row>
    <row r="49" spans="1:58" s="390" customFormat="1" ht="12" customHeight="1" x14ac:dyDescent="0.15">
      <c r="A49" s="396" t="s">
        <v>2883</v>
      </c>
      <c r="B49" s="396" t="s">
        <v>2589</v>
      </c>
      <c r="C49" s="396" t="s">
        <v>2671</v>
      </c>
      <c r="D49" s="396" t="s">
        <v>2670</v>
      </c>
      <c r="E49" s="396" t="s">
        <v>2609</v>
      </c>
      <c r="F49" s="382">
        <v>41506</v>
      </c>
      <c r="G49" s="424"/>
      <c r="H49" s="538"/>
      <c r="I49" s="538"/>
      <c r="J49" s="538"/>
      <c r="K49" s="538"/>
      <c r="L49" s="422"/>
      <c r="M49" s="541" t="str">
        <f t="shared" si="19"/>
        <v>--</v>
      </c>
      <c r="N49" s="438" t="str">
        <f t="shared" si="20"/>
        <v>--</v>
      </c>
      <c r="O49" s="438" t="str">
        <f t="shared" si="21"/>
        <v>--</v>
      </c>
      <c r="P49" s="356"/>
      <c r="Q49" s="422"/>
      <c r="R49" s="393"/>
      <c r="S49" s="393"/>
      <c r="T49" s="393"/>
      <c r="U49" s="392"/>
      <c r="V49" s="392"/>
      <c r="W49" s="392"/>
      <c r="X49" s="392"/>
      <c r="Y49" s="392"/>
      <c r="Z49" s="392"/>
      <c r="AA49" s="392"/>
      <c r="AB49" s="392"/>
      <c r="AC49" s="392"/>
      <c r="AD49" s="392"/>
      <c r="AE49" s="392"/>
      <c r="AF49" s="392"/>
      <c r="AG49" s="392"/>
      <c r="AH49" s="392"/>
      <c r="AI49" s="392"/>
      <c r="AJ49" s="392"/>
      <c r="AK49" s="392"/>
      <c r="AL49" s="392"/>
      <c r="AM49" s="392"/>
      <c r="AN49" s="392"/>
      <c r="AO49" s="392"/>
      <c r="AP49" s="392"/>
      <c r="AQ49" s="392"/>
      <c r="AR49" s="392"/>
      <c r="AS49" s="392"/>
      <c r="AT49" s="392"/>
      <c r="AU49" s="373"/>
      <c r="AV49" s="373"/>
      <c r="AW49" s="373"/>
      <c r="AX49" s="373"/>
      <c r="AY49" s="373"/>
      <c r="AZ49" s="373"/>
      <c r="BA49" s="373"/>
      <c r="BB49" s="373"/>
      <c r="BC49" s="373"/>
      <c r="BD49" s="373"/>
      <c r="BE49" s="373"/>
      <c r="BF49" s="373"/>
    </row>
    <row r="50" spans="1:58" s="390" customFormat="1" ht="12" customHeight="1" x14ac:dyDescent="0.15">
      <c r="A50" s="396" t="s">
        <v>2871</v>
      </c>
      <c r="B50" s="396" t="s">
        <v>2598</v>
      </c>
      <c r="C50" s="396" t="s">
        <v>2636</v>
      </c>
      <c r="D50" s="396" t="s">
        <v>2635</v>
      </c>
      <c r="E50" s="396" t="s">
        <v>2609</v>
      </c>
      <c r="F50" s="382">
        <v>41465</v>
      </c>
      <c r="G50" s="424"/>
      <c r="H50" s="538"/>
      <c r="I50" s="538"/>
      <c r="J50" s="538"/>
      <c r="K50" s="538"/>
      <c r="L50" s="422"/>
      <c r="M50" s="541" t="str">
        <f t="shared" si="19"/>
        <v>--</v>
      </c>
      <c r="N50" s="438" t="str">
        <f t="shared" si="20"/>
        <v>--</v>
      </c>
      <c r="O50" s="438" t="str">
        <f t="shared" si="21"/>
        <v>--</v>
      </c>
      <c r="P50" s="356"/>
      <c r="Q50" s="422"/>
      <c r="R50" s="393"/>
      <c r="S50" s="393"/>
      <c r="T50" s="393"/>
      <c r="U50" s="392"/>
      <c r="V50" s="392"/>
      <c r="W50" s="392"/>
      <c r="X50" s="392"/>
      <c r="Y50" s="392"/>
      <c r="Z50" s="392"/>
      <c r="AA50" s="392"/>
      <c r="AB50" s="392"/>
      <c r="AC50" s="392"/>
      <c r="AD50" s="392"/>
      <c r="AE50" s="392"/>
      <c r="AF50" s="392"/>
      <c r="AG50" s="392"/>
      <c r="AH50" s="392"/>
      <c r="AI50" s="392"/>
      <c r="AJ50" s="392"/>
      <c r="AK50" s="392"/>
      <c r="AL50" s="392"/>
      <c r="AM50" s="392"/>
      <c r="AN50" s="392"/>
      <c r="AO50" s="392"/>
      <c r="AP50" s="392"/>
      <c r="AQ50" s="392"/>
      <c r="AR50" s="392"/>
      <c r="AS50" s="392"/>
      <c r="AT50" s="392"/>
      <c r="AU50" s="373"/>
      <c r="AV50" s="373"/>
      <c r="AW50" s="373"/>
      <c r="AX50" s="373"/>
      <c r="AY50" s="373"/>
      <c r="AZ50" s="373"/>
      <c r="BA50" s="373"/>
      <c r="BB50" s="373"/>
      <c r="BC50" s="373"/>
      <c r="BD50" s="373"/>
      <c r="BE50" s="373"/>
      <c r="BF50" s="373"/>
    </row>
    <row r="51" spans="1:58" s="390" customFormat="1" ht="12" customHeight="1" x14ac:dyDescent="0.15">
      <c r="A51" s="396" t="s">
        <v>3447</v>
      </c>
      <c r="B51" s="396" t="s">
        <v>3448</v>
      </c>
      <c r="C51" s="396" t="s">
        <v>3449</v>
      </c>
      <c r="D51" s="396" t="s">
        <v>2565</v>
      </c>
      <c r="E51" s="396" t="s">
        <v>3255</v>
      </c>
      <c r="F51" s="382">
        <v>41544</v>
      </c>
      <c r="G51" s="424"/>
      <c r="H51" s="538"/>
      <c r="I51" s="538"/>
      <c r="J51" s="538"/>
      <c r="K51" s="538"/>
      <c r="L51" s="422"/>
      <c r="M51" s="541" t="str">
        <f t="shared" si="19"/>
        <v>--</v>
      </c>
      <c r="N51" s="438" t="str">
        <f t="shared" si="20"/>
        <v>--</v>
      </c>
      <c r="O51" s="438" t="str">
        <f t="shared" si="21"/>
        <v>--</v>
      </c>
      <c r="P51" s="356"/>
      <c r="Q51" s="422"/>
      <c r="R51" s="393"/>
      <c r="S51" s="393"/>
      <c r="T51" s="393"/>
      <c r="U51" s="392"/>
      <c r="V51" s="392"/>
      <c r="W51" s="392"/>
      <c r="X51" s="392"/>
      <c r="Y51" s="392"/>
      <c r="Z51" s="392"/>
      <c r="AA51" s="392"/>
      <c r="AB51" s="392"/>
      <c r="AC51" s="392"/>
      <c r="AD51" s="392"/>
      <c r="AE51" s="392"/>
      <c r="AF51" s="392"/>
      <c r="AG51" s="392"/>
      <c r="AH51" s="392"/>
      <c r="AI51" s="392"/>
      <c r="AJ51" s="392"/>
      <c r="AK51" s="392"/>
      <c r="AL51" s="392"/>
      <c r="AM51" s="392"/>
      <c r="AN51" s="392"/>
      <c r="AO51" s="392"/>
      <c r="AP51" s="392"/>
      <c r="AQ51" s="392"/>
      <c r="AR51" s="392"/>
      <c r="AS51" s="392"/>
      <c r="AT51" s="392"/>
      <c r="AU51" s="373"/>
      <c r="AV51" s="373"/>
      <c r="AW51" s="373"/>
      <c r="AX51" s="373"/>
      <c r="AY51" s="373"/>
      <c r="AZ51" s="373"/>
      <c r="BA51" s="373"/>
      <c r="BB51" s="373"/>
      <c r="BC51" s="373"/>
      <c r="BD51" s="373"/>
      <c r="BE51" s="373"/>
      <c r="BF51" s="373"/>
    </row>
    <row r="52" spans="1:58" s="390" customFormat="1" ht="12" customHeight="1" x14ac:dyDescent="0.15">
      <c r="A52" s="396" t="s">
        <v>3081</v>
      </c>
      <c r="B52" s="396" t="s">
        <v>2598</v>
      </c>
      <c r="C52" s="396" t="s">
        <v>2834</v>
      </c>
      <c r="D52" s="396" t="s">
        <v>3082</v>
      </c>
      <c r="E52" s="396" t="s">
        <v>3083</v>
      </c>
      <c r="F52" s="382">
        <v>41575</v>
      </c>
      <c r="G52" s="424"/>
      <c r="H52" s="538"/>
      <c r="I52" s="538"/>
      <c r="J52" s="538"/>
      <c r="K52" s="538"/>
      <c r="L52" s="422"/>
      <c r="M52" s="541" t="str">
        <f t="shared" si="19"/>
        <v>--</v>
      </c>
      <c r="N52" s="438" t="str">
        <f t="shared" si="20"/>
        <v>--</v>
      </c>
      <c r="O52" s="438" t="str">
        <f t="shared" si="21"/>
        <v>--</v>
      </c>
      <c r="P52" s="356"/>
      <c r="Q52" s="422"/>
      <c r="R52" s="393"/>
      <c r="S52" s="393"/>
      <c r="T52" s="393"/>
      <c r="U52" s="392"/>
      <c r="V52" s="392"/>
      <c r="W52" s="392"/>
      <c r="X52" s="392"/>
      <c r="Y52" s="392"/>
      <c r="Z52" s="392"/>
      <c r="AA52" s="392"/>
      <c r="AB52" s="392"/>
      <c r="AC52" s="392"/>
      <c r="AD52" s="392"/>
      <c r="AE52" s="392"/>
      <c r="AF52" s="392"/>
      <c r="AG52" s="392"/>
      <c r="AH52" s="392"/>
      <c r="AI52" s="392"/>
      <c r="AJ52" s="392"/>
      <c r="AK52" s="392"/>
      <c r="AL52" s="392"/>
      <c r="AM52" s="392"/>
      <c r="AN52" s="392"/>
      <c r="AO52" s="392"/>
      <c r="AP52" s="392"/>
      <c r="AQ52" s="392"/>
      <c r="AR52" s="392"/>
      <c r="AS52" s="392"/>
      <c r="AT52" s="392"/>
      <c r="AU52" s="373"/>
      <c r="AV52" s="373"/>
      <c r="AW52" s="373"/>
      <c r="AX52" s="373"/>
      <c r="AY52" s="373"/>
      <c r="AZ52" s="373"/>
      <c r="BA52" s="373"/>
      <c r="BB52" s="373"/>
      <c r="BC52" s="373"/>
      <c r="BD52" s="373"/>
      <c r="BE52" s="373"/>
      <c r="BF52" s="373"/>
    </row>
    <row r="53" spans="1:58" s="390" customFormat="1" ht="12" customHeight="1" x14ac:dyDescent="0.15">
      <c r="A53" s="396" t="s">
        <v>2858</v>
      </c>
      <c r="B53" s="396" t="s">
        <v>2598</v>
      </c>
      <c r="C53" s="396" t="s">
        <v>2857</v>
      </c>
      <c r="D53" s="396" t="s">
        <v>2856</v>
      </c>
      <c r="E53" s="396" t="s">
        <v>2574</v>
      </c>
      <c r="F53" s="382">
        <v>41542</v>
      </c>
      <c r="G53" s="424"/>
      <c r="H53" s="538"/>
      <c r="I53" s="538"/>
      <c r="J53" s="538"/>
      <c r="K53" s="538"/>
      <c r="L53" s="422"/>
      <c r="M53" s="541" t="str">
        <f t="shared" si="19"/>
        <v>--</v>
      </c>
      <c r="N53" s="438" t="str">
        <f t="shared" si="20"/>
        <v>--</v>
      </c>
      <c r="O53" s="438" t="str">
        <f t="shared" si="21"/>
        <v>--</v>
      </c>
      <c r="P53" s="356"/>
      <c r="Q53" s="422"/>
      <c r="R53" s="393"/>
      <c r="S53" s="393"/>
      <c r="T53" s="393"/>
      <c r="U53" s="392"/>
      <c r="V53" s="392"/>
      <c r="W53" s="392"/>
      <c r="X53" s="392"/>
      <c r="Y53" s="392"/>
      <c r="Z53" s="392"/>
      <c r="AA53" s="392"/>
      <c r="AB53" s="392"/>
      <c r="AC53" s="392"/>
      <c r="AD53" s="392"/>
      <c r="AE53" s="392"/>
      <c r="AF53" s="392"/>
      <c r="AG53" s="392"/>
      <c r="AH53" s="392"/>
      <c r="AI53" s="392"/>
      <c r="AJ53" s="392"/>
      <c r="AK53" s="392"/>
      <c r="AL53" s="392"/>
      <c r="AM53" s="392"/>
      <c r="AN53" s="392"/>
      <c r="AO53" s="392"/>
      <c r="AP53" s="392"/>
      <c r="AQ53" s="392"/>
      <c r="AR53" s="392"/>
      <c r="AS53" s="392"/>
      <c r="AT53" s="392"/>
      <c r="AU53" s="373"/>
      <c r="AV53" s="373"/>
      <c r="AW53" s="373"/>
      <c r="AX53" s="373"/>
      <c r="AY53" s="373"/>
      <c r="AZ53" s="373"/>
      <c r="BA53" s="373"/>
      <c r="BB53" s="373"/>
      <c r="BC53" s="373"/>
      <c r="BD53" s="373"/>
      <c r="BE53" s="373"/>
      <c r="BF53" s="373"/>
    </row>
    <row r="54" spans="1:58" s="390" customFormat="1" ht="12" customHeight="1" x14ac:dyDescent="0.15">
      <c r="A54" s="396" t="s">
        <v>2849</v>
      </c>
      <c r="B54" s="396" t="s">
        <v>2589</v>
      </c>
      <c r="C54" s="396" t="s">
        <v>2848</v>
      </c>
      <c r="D54" s="396" t="s">
        <v>2847</v>
      </c>
      <c r="E54" s="396" t="s">
        <v>2555</v>
      </c>
      <c r="F54" s="382">
        <v>41491</v>
      </c>
      <c r="G54" s="424"/>
      <c r="H54" s="538"/>
      <c r="I54" s="538"/>
      <c r="J54" s="538"/>
      <c r="K54" s="538"/>
      <c r="L54" s="422"/>
      <c r="M54" s="541" t="str">
        <f t="shared" si="19"/>
        <v>--</v>
      </c>
      <c r="N54" s="438" t="str">
        <f t="shared" si="20"/>
        <v>--</v>
      </c>
      <c r="O54" s="438" t="str">
        <f t="shared" si="21"/>
        <v>--</v>
      </c>
      <c r="P54" s="356"/>
      <c r="Q54" s="422"/>
      <c r="R54" s="393"/>
      <c r="S54" s="393"/>
      <c r="T54" s="393"/>
      <c r="U54" s="392"/>
      <c r="V54" s="392"/>
      <c r="W54" s="392"/>
      <c r="X54" s="392"/>
      <c r="Y54" s="392"/>
      <c r="Z54" s="392"/>
      <c r="AA54" s="392"/>
      <c r="AB54" s="392"/>
      <c r="AC54" s="392"/>
      <c r="AD54" s="392"/>
      <c r="AE54" s="392"/>
      <c r="AF54" s="392"/>
      <c r="AG54" s="392"/>
      <c r="AH54" s="392"/>
      <c r="AI54" s="392"/>
      <c r="AJ54" s="392"/>
      <c r="AK54" s="392"/>
      <c r="AL54" s="392"/>
      <c r="AM54" s="392"/>
      <c r="AN54" s="392"/>
      <c r="AO54" s="392"/>
      <c r="AP54" s="392"/>
      <c r="AQ54" s="392"/>
      <c r="AR54" s="392"/>
      <c r="AS54" s="392"/>
      <c r="AT54" s="392"/>
      <c r="AU54" s="373"/>
      <c r="AV54" s="373"/>
      <c r="AW54" s="373"/>
      <c r="AX54" s="373"/>
      <c r="AY54" s="373"/>
      <c r="AZ54" s="373"/>
      <c r="BA54" s="373"/>
      <c r="BB54" s="373"/>
      <c r="BC54" s="373"/>
      <c r="BD54" s="373"/>
      <c r="BE54" s="373"/>
      <c r="BF54" s="373"/>
    </row>
    <row r="55" spans="1:58" s="390" customFormat="1" ht="12" customHeight="1" x14ac:dyDescent="0.15">
      <c r="A55" s="396" t="s">
        <v>3106</v>
      </c>
      <c r="B55" s="396" t="s">
        <v>2598</v>
      </c>
      <c r="C55" s="396" t="s">
        <v>2809</v>
      </c>
      <c r="D55" s="396" t="s">
        <v>2873</v>
      </c>
      <c r="E55" s="396" t="s">
        <v>3083</v>
      </c>
      <c r="F55" s="382">
        <v>41548</v>
      </c>
      <c r="G55" s="424"/>
      <c r="H55" s="538"/>
      <c r="I55" s="538"/>
      <c r="J55" s="538"/>
      <c r="K55" s="538"/>
      <c r="L55" s="422"/>
      <c r="M55" s="541" t="str">
        <f t="shared" si="19"/>
        <v>--</v>
      </c>
      <c r="N55" s="438" t="str">
        <f t="shared" si="20"/>
        <v>--</v>
      </c>
      <c r="O55" s="438" t="str">
        <f t="shared" si="21"/>
        <v>--</v>
      </c>
      <c r="P55" s="356"/>
      <c r="Q55" s="422"/>
      <c r="R55" s="393"/>
      <c r="S55" s="393"/>
      <c r="T55" s="393"/>
      <c r="U55" s="392"/>
      <c r="V55" s="392"/>
      <c r="W55" s="392"/>
      <c r="X55" s="392"/>
      <c r="Y55" s="392"/>
      <c r="Z55" s="392"/>
      <c r="AA55" s="392"/>
      <c r="AB55" s="392"/>
      <c r="AC55" s="392"/>
      <c r="AD55" s="392"/>
      <c r="AE55" s="392"/>
      <c r="AF55" s="392"/>
      <c r="AG55" s="392"/>
      <c r="AH55" s="392"/>
      <c r="AI55" s="392"/>
      <c r="AJ55" s="392"/>
      <c r="AK55" s="392"/>
      <c r="AL55" s="392"/>
      <c r="AM55" s="392"/>
      <c r="AN55" s="392"/>
      <c r="AO55" s="392"/>
      <c r="AP55" s="392"/>
      <c r="AQ55" s="392"/>
      <c r="AR55" s="392"/>
      <c r="AS55" s="392"/>
      <c r="AT55" s="392"/>
      <c r="AU55" s="373"/>
      <c r="AV55" s="373"/>
      <c r="AW55" s="373"/>
      <c r="AX55" s="373"/>
      <c r="AY55" s="373"/>
      <c r="AZ55" s="373"/>
      <c r="BA55" s="373"/>
      <c r="BB55" s="373"/>
      <c r="BC55" s="373"/>
      <c r="BD55" s="373"/>
      <c r="BE55" s="373"/>
      <c r="BF55" s="373"/>
    </row>
    <row r="56" spans="1:58" s="390" customFormat="1" ht="12" customHeight="1" x14ac:dyDescent="0.15">
      <c r="A56" s="396" t="s">
        <v>2843</v>
      </c>
      <c r="B56" s="396" t="s">
        <v>2589</v>
      </c>
      <c r="C56" s="396" t="s">
        <v>2842</v>
      </c>
      <c r="D56" s="396" t="s">
        <v>2614</v>
      </c>
      <c r="E56" s="396" t="s">
        <v>2609</v>
      </c>
      <c r="F56" s="382">
        <v>41475</v>
      </c>
      <c r="G56" s="424"/>
      <c r="H56" s="538"/>
      <c r="I56" s="538"/>
      <c r="J56" s="538"/>
      <c r="K56" s="538"/>
      <c r="L56" s="422"/>
      <c r="M56" s="541" t="str">
        <f t="shared" si="19"/>
        <v>--</v>
      </c>
      <c r="N56" s="438" t="str">
        <f t="shared" si="20"/>
        <v>--</v>
      </c>
      <c r="O56" s="438" t="str">
        <f t="shared" si="21"/>
        <v>--</v>
      </c>
      <c r="P56" s="356"/>
      <c r="Q56" s="422"/>
      <c r="R56" s="393"/>
      <c r="S56" s="393"/>
      <c r="T56" s="393"/>
      <c r="U56" s="392"/>
      <c r="V56" s="392"/>
      <c r="W56" s="392"/>
      <c r="X56" s="392"/>
      <c r="Y56" s="392"/>
      <c r="Z56" s="392"/>
      <c r="AA56" s="392"/>
      <c r="AB56" s="392"/>
      <c r="AC56" s="392"/>
      <c r="AD56" s="392"/>
      <c r="AE56" s="392"/>
      <c r="AF56" s="392"/>
      <c r="AG56" s="392"/>
      <c r="AH56" s="392"/>
      <c r="AI56" s="392"/>
      <c r="AJ56" s="392"/>
      <c r="AK56" s="392"/>
      <c r="AL56" s="392"/>
      <c r="AM56" s="392"/>
      <c r="AN56" s="392"/>
      <c r="AO56" s="392"/>
      <c r="AP56" s="392"/>
      <c r="AQ56" s="392"/>
      <c r="AR56" s="392"/>
      <c r="AS56" s="392"/>
      <c r="AT56" s="392"/>
      <c r="AU56" s="373"/>
      <c r="AV56" s="373"/>
      <c r="AW56" s="373"/>
      <c r="AX56" s="373"/>
      <c r="AY56" s="373"/>
      <c r="AZ56" s="373"/>
      <c r="BA56" s="373"/>
      <c r="BB56" s="373"/>
      <c r="BC56" s="373"/>
      <c r="BD56" s="373"/>
      <c r="BE56" s="373"/>
      <c r="BF56" s="373"/>
    </row>
    <row r="57" spans="1:58" s="390" customFormat="1" ht="12" customHeight="1" x14ac:dyDescent="0.15">
      <c r="A57" s="396" t="s">
        <v>2841</v>
      </c>
      <c r="B57" s="396" t="s">
        <v>2589</v>
      </c>
      <c r="C57" s="396" t="s">
        <v>2655</v>
      </c>
      <c r="D57" s="396" t="s">
        <v>2840</v>
      </c>
      <c r="E57" s="396" t="s">
        <v>2839</v>
      </c>
      <c r="F57" s="382">
        <v>41573</v>
      </c>
      <c r="G57" s="424"/>
      <c r="H57" s="538"/>
      <c r="I57" s="538"/>
      <c r="J57" s="538"/>
      <c r="K57" s="538"/>
      <c r="L57" s="422"/>
      <c r="M57" s="541" t="str">
        <f t="shared" si="19"/>
        <v>--</v>
      </c>
      <c r="N57" s="438" t="str">
        <f t="shared" si="20"/>
        <v>--</v>
      </c>
      <c r="O57" s="438" t="str">
        <f t="shared" si="21"/>
        <v>--</v>
      </c>
      <c r="P57" s="356"/>
      <c r="Q57" s="422"/>
      <c r="R57" s="393"/>
      <c r="S57" s="393"/>
      <c r="T57" s="393"/>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73"/>
      <c r="AV57" s="373"/>
      <c r="AW57" s="373"/>
      <c r="AX57" s="373"/>
      <c r="AY57" s="373"/>
      <c r="AZ57" s="373"/>
      <c r="BA57" s="373"/>
      <c r="BB57" s="373"/>
      <c r="BC57" s="373"/>
      <c r="BD57" s="373"/>
      <c r="BE57" s="373"/>
      <c r="BF57" s="373"/>
    </row>
    <row r="58" spans="1:58" s="390" customFormat="1" ht="12" customHeight="1" x14ac:dyDescent="0.15">
      <c r="A58" s="396"/>
      <c r="B58" s="396"/>
      <c r="C58" s="396" t="s">
        <v>2838</v>
      </c>
      <c r="D58" s="396"/>
      <c r="E58" s="396"/>
      <c r="F58" s="382"/>
      <c r="G58" s="424"/>
      <c r="H58" s="538"/>
      <c r="I58" s="538"/>
      <c r="J58" s="538"/>
      <c r="K58" s="538"/>
      <c r="L58" s="422"/>
      <c r="M58" s="541" t="str">
        <f t="shared" si="19"/>
        <v>--</v>
      </c>
      <c r="N58" s="438" t="str">
        <f t="shared" si="20"/>
        <v>--</v>
      </c>
      <c r="O58" s="438" t="str">
        <f t="shared" si="21"/>
        <v>--</v>
      </c>
      <c r="P58" s="356"/>
      <c r="Q58" s="422"/>
      <c r="R58" s="393"/>
      <c r="S58" s="393"/>
      <c r="T58" s="393"/>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392"/>
      <c r="AR58" s="392"/>
      <c r="AS58" s="392"/>
      <c r="AT58" s="392"/>
      <c r="AU58" s="373"/>
      <c r="AV58" s="373"/>
      <c r="AW58" s="373"/>
      <c r="AX58" s="373"/>
      <c r="AY58" s="373"/>
      <c r="AZ58" s="373"/>
      <c r="BA58" s="373"/>
      <c r="BB58" s="373"/>
      <c r="BC58" s="373"/>
      <c r="BD58" s="373"/>
      <c r="BE58" s="373"/>
      <c r="BF58" s="373"/>
    </row>
    <row r="59" spans="1:58" s="390" customFormat="1" ht="12" customHeight="1" x14ac:dyDescent="0.15">
      <c r="A59" s="396"/>
      <c r="B59" s="396"/>
      <c r="C59" s="396" t="s">
        <v>2837</v>
      </c>
      <c r="D59" s="396"/>
      <c r="E59" s="396"/>
      <c r="F59" s="382"/>
      <c r="G59" s="424"/>
      <c r="H59" s="538"/>
      <c r="I59" s="538"/>
      <c r="J59" s="538"/>
      <c r="K59" s="538"/>
      <c r="L59" s="422"/>
      <c r="M59" s="541" t="str">
        <f t="shared" si="19"/>
        <v>--</v>
      </c>
      <c r="N59" s="438" t="str">
        <f t="shared" si="20"/>
        <v>--</v>
      </c>
      <c r="O59" s="438" t="str">
        <f t="shared" si="21"/>
        <v>--</v>
      </c>
      <c r="P59" s="356"/>
      <c r="Q59" s="422"/>
      <c r="R59" s="393"/>
      <c r="S59" s="393"/>
      <c r="T59" s="393"/>
      <c r="U59" s="392"/>
      <c r="V59" s="392"/>
      <c r="W59" s="392"/>
      <c r="X59" s="392"/>
      <c r="Y59" s="392"/>
      <c r="Z59" s="392"/>
      <c r="AA59" s="392"/>
      <c r="AB59" s="392"/>
      <c r="AC59" s="392"/>
      <c r="AD59" s="392"/>
      <c r="AE59" s="392"/>
      <c r="AF59" s="392"/>
      <c r="AG59" s="392"/>
      <c r="AH59" s="392"/>
      <c r="AI59" s="392"/>
      <c r="AJ59" s="392"/>
      <c r="AK59" s="392"/>
      <c r="AL59" s="392"/>
      <c r="AM59" s="392"/>
      <c r="AN59" s="392"/>
      <c r="AO59" s="392"/>
      <c r="AP59" s="392"/>
      <c r="AQ59" s="392"/>
      <c r="AR59" s="392"/>
      <c r="AS59" s="392"/>
      <c r="AT59" s="392"/>
      <c r="AU59" s="373"/>
      <c r="AV59" s="373"/>
      <c r="AW59" s="373"/>
      <c r="AX59" s="373"/>
      <c r="AY59" s="373"/>
      <c r="AZ59" s="373"/>
      <c r="BA59" s="373"/>
      <c r="BB59" s="373"/>
      <c r="BC59" s="373"/>
      <c r="BD59" s="373"/>
      <c r="BE59" s="373"/>
      <c r="BF59" s="373"/>
    </row>
    <row r="60" spans="1:58" s="390" customFormat="1" ht="12" customHeight="1" x14ac:dyDescent="0.15">
      <c r="A60" s="396"/>
      <c r="B60" s="396"/>
      <c r="C60" s="396" t="s">
        <v>2836</v>
      </c>
      <c r="D60" s="396"/>
      <c r="E60" s="396"/>
      <c r="F60" s="382"/>
      <c r="G60" s="424"/>
      <c r="H60" s="538"/>
      <c r="I60" s="538"/>
      <c r="J60" s="538"/>
      <c r="K60" s="538"/>
      <c r="L60" s="422"/>
      <c r="M60" s="541" t="str">
        <f t="shared" si="19"/>
        <v>--</v>
      </c>
      <c r="N60" s="438" t="str">
        <f t="shared" si="20"/>
        <v>--</v>
      </c>
      <c r="O60" s="438" t="str">
        <f t="shared" si="21"/>
        <v>--</v>
      </c>
      <c r="P60" s="356"/>
      <c r="Q60" s="422"/>
      <c r="R60" s="393"/>
      <c r="S60" s="393"/>
      <c r="T60" s="393"/>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92"/>
      <c r="AT60" s="392"/>
      <c r="AU60" s="373"/>
      <c r="AV60" s="373"/>
      <c r="AW60" s="373"/>
      <c r="AX60" s="373"/>
      <c r="AY60" s="373"/>
      <c r="AZ60" s="373"/>
      <c r="BA60" s="373"/>
      <c r="BB60" s="373"/>
      <c r="BC60" s="373"/>
      <c r="BD60" s="373"/>
      <c r="BE60" s="373"/>
      <c r="BF60" s="373"/>
    </row>
    <row r="61" spans="1:58" s="390" customFormat="1" ht="12" customHeight="1" x14ac:dyDescent="0.15">
      <c r="A61" s="396"/>
      <c r="B61" s="396"/>
      <c r="C61" s="396" t="s">
        <v>2835</v>
      </c>
      <c r="D61" s="396"/>
      <c r="E61" s="396"/>
      <c r="F61" s="382"/>
      <c r="G61" s="424"/>
      <c r="H61" s="538"/>
      <c r="I61" s="538"/>
      <c r="J61" s="538"/>
      <c r="K61" s="538"/>
      <c r="L61" s="422"/>
      <c r="M61" s="541" t="str">
        <f t="shared" si="19"/>
        <v>--</v>
      </c>
      <c r="N61" s="438" t="str">
        <f t="shared" si="20"/>
        <v>--</v>
      </c>
      <c r="O61" s="438" t="str">
        <f t="shared" si="21"/>
        <v>--</v>
      </c>
      <c r="P61" s="356"/>
      <c r="Q61" s="422"/>
      <c r="R61" s="393"/>
      <c r="S61" s="393"/>
      <c r="T61" s="393"/>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73"/>
      <c r="AV61" s="373"/>
      <c r="AW61" s="373"/>
      <c r="AX61" s="373"/>
      <c r="AY61" s="373"/>
      <c r="AZ61" s="373"/>
      <c r="BA61" s="373"/>
      <c r="BB61" s="373"/>
      <c r="BC61" s="373"/>
      <c r="BD61" s="373"/>
      <c r="BE61" s="373"/>
      <c r="BF61" s="373"/>
    </row>
    <row r="62" spans="1:58" s="390" customFormat="1" ht="12" customHeight="1" x14ac:dyDescent="0.15">
      <c r="A62" s="396" t="s">
        <v>2833</v>
      </c>
      <c r="B62" s="396" t="s">
        <v>878</v>
      </c>
      <c r="C62" s="396" t="s">
        <v>2832</v>
      </c>
      <c r="D62" s="396" t="s">
        <v>2831</v>
      </c>
      <c r="E62" s="396"/>
      <c r="F62" s="382"/>
      <c r="G62" s="424"/>
      <c r="H62" s="538"/>
      <c r="I62" s="538"/>
      <c r="J62" s="538"/>
      <c r="K62" s="538"/>
      <c r="L62" s="422"/>
      <c r="M62" s="541" t="str">
        <f t="shared" si="19"/>
        <v>--</v>
      </c>
      <c r="N62" s="438" t="str">
        <f t="shared" si="20"/>
        <v>--</v>
      </c>
      <c r="O62" s="438" t="str">
        <f t="shared" si="21"/>
        <v>--</v>
      </c>
      <c r="P62" s="356"/>
      <c r="Q62" s="422"/>
      <c r="R62" s="393"/>
      <c r="S62" s="393"/>
      <c r="T62" s="393"/>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73"/>
      <c r="AV62" s="373"/>
      <c r="AW62" s="373"/>
      <c r="AX62" s="373"/>
      <c r="AY62" s="373"/>
      <c r="AZ62" s="373"/>
      <c r="BA62" s="373"/>
      <c r="BB62" s="373"/>
      <c r="BC62" s="373"/>
      <c r="BD62" s="373"/>
      <c r="BE62" s="373"/>
      <c r="BF62" s="373"/>
    </row>
    <row r="63" spans="1:58" s="390" customFormat="1" ht="12" customHeight="1" x14ac:dyDescent="0.15">
      <c r="A63" s="396"/>
      <c r="B63" s="396"/>
      <c r="C63" s="396" t="s">
        <v>2830</v>
      </c>
      <c r="D63" s="396" t="s">
        <v>2829</v>
      </c>
      <c r="E63" s="396" t="s">
        <v>2828</v>
      </c>
      <c r="F63" s="382"/>
      <c r="G63" s="424"/>
      <c r="H63" s="538"/>
      <c r="I63" s="538"/>
      <c r="J63" s="538"/>
      <c r="K63" s="538"/>
      <c r="L63" s="422"/>
      <c r="M63" s="541" t="str">
        <f>IF(H63="","--",L63/H63)</f>
        <v>--</v>
      </c>
      <c r="N63" s="438" t="str">
        <f t="shared" si="20"/>
        <v>--</v>
      </c>
      <c r="O63" s="438" t="str">
        <f t="shared" si="21"/>
        <v>--</v>
      </c>
      <c r="P63" s="356"/>
      <c r="Q63" s="422"/>
      <c r="R63" s="393"/>
      <c r="S63" s="393"/>
      <c r="T63" s="393"/>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73"/>
      <c r="AV63" s="373"/>
      <c r="AW63" s="373"/>
      <c r="AX63" s="373"/>
      <c r="AY63" s="373"/>
      <c r="AZ63" s="373"/>
      <c r="BA63" s="373"/>
      <c r="BB63" s="373"/>
      <c r="BC63" s="373"/>
      <c r="BD63" s="373"/>
      <c r="BE63" s="373"/>
      <c r="BF63" s="373"/>
    </row>
    <row r="64" spans="1:58" s="390" customFormat="1" ht="12" customHeight="1" x14ac:dyDescent="0.15">
      <c r="A64" s="396"/>
      <c r="B64" s="396"/>
      <c r="C64" s="396" t="s">
        <v>2750</v>
      </c>
      <c r="D64" s="396"/>
      <c r="E64" s="396"/>
      <c r="F64" s="382"/>
      <c r="G64" s="424"/>
      <c r="H64" s="538"/>
      <c r="I64" s="538"/>
      <c r="J64" s="538"/>
      <c r="K64" s="538"/>
      <c r="L64" s="422"/>
      <c r="M64" s="541" t="str">
        <f t="shared" si="19"/>
        <v>--</v>
      </c>
      <c r="N64" s="438" t="str">
        <f t="shared" si="20"/>
        <v>--</v>
      </c>
      <c r="O64" s="438" t="str">
        <f t="shared" si="21"/>
        <v>--</v>
      </c>
      <c r="P64" s="356"/>
      <c r="Q64" s="422"/>
      <c r="R64" s="393"/>
      <c r="S64" s="393"/>
      <c r="T64" s="393"/>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73"/>
      <c r="AV64" s="373"/>
      <c r="AW64" s="373"/>
      <c r="AX64" s="373"/>
      <c r="AY64" s="373"/>
      <c r="AZ64" s="373"/>
      <c r="BA64" s="373"/>
      <c r="BB64" s="373"/>
      <c r="BC64" s="373"/>
      <c r="BD64" s="373"/>
      <c r="BE64" s="373"/>
      <c r="BF64" s="373"/>
    </row>
    <row r="65" spans="1:58" s="390" customFormat="1" ht="12" customHeight="1" x14ac:dyDescent="0.15">
      <c r="A65" s="396"/>
      <c r="B65" s="396"/>
      <c r="C65" s="396" t="s">
        <v>2792</v>
      </c>
      <c r="D65" s="396"/>
      <c r="E65" s="396"/>
      <c r="F65" s="382"/>
      <c r="G65" s="424"/>
      <c r="H65" s="538"/>
      <c r="I65" s="538"/>
      <c r="J65" s="538"/>
      <c r="K65" s="538"/>
      <c r="L65" s="422"/>
      <c r="M65" s="541" t="str">
        <f t="shared" si="19"/>
        <v>--</v>
      </c>
      <c r="N65" s="438" t="str">
        <f t="shared" si="20"/>
        <v>--</v>
      </c>
      <c r="O65" s="438" t="str">
        <f t="shared" si="21"/>
        <v>--</v>
      </c>
      <c r="P65" s="356"/>
      <c r="Q65" s="422"/>
      <c r="R65" s="393"/>
      <c r="S65" s="393"/>
      <c r="T65" s="393"/>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73"/>
      <c r="AV65" s="373"/>
      <c r="AW65" s="373"/>
      <c r="AX65" s="373"/>
      <c r="AY65" s="373"/>
      <c r="AZ65" s="373"/>
      <c r="BA65" s="373"/>
      <c r="BB65" s="373"/>
      <c r="BC65" s="373"/>
      <c r="BD65" s="373"/>
      <c r="BE65" s="373"/>
      <c r="BF65" s="373"/>
    </row>
    <row r="66" spans="1:58" s="390" customFormat="1" ht="12" customHeight="1" x14ac:dyDescent="0.15">
      <c r="A66" s="396"/>
      <c r="B66" s="396"/>
      <c r="C66" s="396" t="s">
        <v>2827</v>
      </c>
      <c r="D66" s="396"/>
      <c r="E66" s="396"/>
      <c r="F66" s="382"/>
      <c r="G66" s="424"/>
      <c r="H66" s="538"/>
      <c r="I66" s="538"/>
      <c r="J66" s="538"/>
      <c r="K66" s="538"/>
      <c r="L66" s="422"/>
      <c r="M66" s="541" t="str">
        <f t="shared" si="19"/>
        <v>--</v>
      </c>
      <c r="N66" s="438" t="str">
        <f t="shared" si="20"/>
        <v>--</v>
      </c>
      <c r="O66" s="438" t="str">
        <f t="shared" si="21"/>
        <v>--</v>
      </c>
      <c r="P66" s="356"/>
      <c r="Q66" s="422"/>
      <c r="R66" s="393"/>
      <c r="S66" s="393"/>
      <c r="T66" s="393"/>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73"/>
      <c r="AV66" s="373"/>
      <c r="AW66" s="373"/>
      <c r="AX66" s="373"/>
      <c r="AY66" s="373"/>
      <c r="AZ66" s="373"/>
      <c r="BA66" s="373"/>
      <c r="BB66" s="373"/>
      <c r="BC66" s="373"/>
      <c r="BD66" s="373"/>
      <c r="BE66" s="373"/>
      <c r="BF66" s="373"/>
    </row>
    <row r="67" spans="1:58" s="390" customFormat="1" ht="12" customHeight="1" x14ac:dyDescent="0.15">
      <c r="A67" s="396"/>
      <c r="B67" s="396"/>
      <c r="C67" s="396" t="s">
        <v>3443</v>
      </c>
      <c r="D67" s="396"/>
      <c r="E67" s="396"/>
      <c r="F67" s="382"/>
      <c r="G67" s="424"/>
      <c r="H67" s="538"/>
      <c r="I67" s="538"/>
      <c r="J67" s="538"/>
      <c r="K67" s="538"/>
      <c r="L67" s="422"/>
      <c r="M67" s="541" t="str">
        <f t="shared" si="19"/>
        <v>--</v>
      </c>
      <c r="N67" s="438" t="str">
        <f t="shared" si="20"/>
        <v>--</v>
      </c>
      <c r="O67" s="438" t="str">
        <f t="shared" si="21"/>
        <v>--</v>
      </c>
      <c r="P67" s="356"/>
      <c r="Q67" s="422"/>
      <c r="R67" s="393"/>
      <c r="S67" s="393"/>
      <c r="T67" s="393"/>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73"/>
      <c r="AV67" s="373"/>
      <c r="AW67" s="373"/>
      <c r="AX67" s="373"/>
      <c r="AY67" s="373"/>
      <c r="AZ67" s="373"/>
      <c r="BA67" s="373"/>
      <c r="BB67" s="373"/>
      <c r="BC67" s="373"/>
      <c r="BD67" s="373"/>
      <c r="BE67" s="373"/>
      <c r="BF67" s="373"/>
    </row>
    <row r="68" spans="1:58" s="390" customFormat="1" ht="12" customHeight="1" x14ac:dyDescent="0.15">
      <c r="A68" s="396"/>
      <c r="B68" s="396"/>
      <c r="C68" s="396" t="s">
        <v>2826</v>
      </c>
      <c r="D68" s="396"/>
      <c r="E68" s="396"/>
      <c r="F68" s="382"/>
      <c r="G68" s="424"/>
      <c r="H68" s="538"/>
      <c r="I68" s="538"/>
      <c r="J68" s="538"/>
      <c r="K68" s="538"/>
      <c r="L68" s="422"/>
      <c r="M68" s="541" t="str">
        <f t="shared" si="19"/>
        <v>--</v>
      </c>
      <c r="N68" s="438" t="str">
        <f t="shared" si="20"/>
        <v>--</v>
      </c>
      <c r="O68" s="438" t="str">
        <f t="shared" si="21"/>
        <v>--</v>
      </c>
      <c r="P68" s="356"/>
      <c r="Q68" s="422"/>
      <c r="R68" s="393"/>
      <c r="S68" s="393"/>
      <c r="T68" s="393"/>
      <c r="U68" s="392"/>
      <c r="V68" s="392"/>
      <c r="W68" s="392"/>
      <c r="X68" s="392"/>
      <c r="Y68" s="392"/>
      <c r="Z68" s="392"/>
      <c r="AA68" s="392"/>
      <c r="AB68" s="392"/>
      <c r="AC68" s="392"/>
      <c r="AD68" s="392"/>
      <c r="AE68" s="392"/>
      <c r="AF68" s="392"/>
      <c r="AG68" s="392"/>
      <c r="AH68" s="392"/>
      <c r="AI68" s="392"/>
      <c r="AJ68" s="392"/>
      <c r="AK68" s="392"/>
      <c r="AL68" s="392"/>
      <c r="AM68" s="392"/>
      <c r="AN68" s="392"/>
      <c r="AO68" s="392"/>
      <c r="AP68" s="392"/>
      <c r="AQ68" s="392"/>
      <c r="AR68" s="392"/>
      <c r="AS68" s="392"/>
      <c r="AT68" s="392"/>
      <c r="AU68" s="373"/>
      <c r="AV68" s="373"/>
      <c r="AW68" s="373"/>
      <c r="AX68" s="373"/>
      <c r="AY68" s="373"/>
      <c r="AZ68" s="373"/>
      <c r="BA68" s="373"/>
      <c r="BB68" s="373"/>
      <c r="BC68" s="373"/>
      <c r="BD68" s="373"/>
      <c r="BE68" s="373"/>
      <c r="BF68" s="373"/>
    </row>
    <row r="69" spans="1:58" s="390" customFormat="1" ht="12" customHeight="1" x14ac:dyDescent="0.15">
      <c r="A69" s="396"/>
      <c r="B69" s="396"/>
      <c r="C69" s="396" t="s">
        <v>2756</v>
      </c>
      <c r="D69" s="396"/>
      <c r="E69" s="396"/>
      <c r="F69" s="382"/>
      <c r="G69" s="424"/>
      <c r="H69" s="538"/>
      <c r="I69" s="538"/>
      <c r="J69" s="538"/>
      <c r="K69" s="538"/>
      <c r="L69" s="422"/>
      <c r="M69" s="541" t="str">
        <f t="shared" si="19"/>
        <v>--</v>
      </c>
      <c r="N69" s="438" t="str">
        <f t="shared" si="20"/>
        <v>--</v>
      </c>
      <c r="O69" s="438" t="str">
        <f t="shared" si="21"/>
        <v>--</v>
      </c>
      <c r="P69" s="356"/>
      <c r="Q69" s="422"/>
      <c r="R69" s="393"/>
      <c r="S69" s="393"/>
      <c r="T69" s="393"/>
      <c r="U69" s="392"/>
      <c r="V69" s="392"/>
      <c r="W69" s="392"/>
      <c r="X69" s="392"/>
      <c r="Y69" s="392"/>
      <c r="Z69" s="392"/>
      <c r="AA69" s="392"/>
      <c r="AB69" s="392"/>
      <c r="AC69" s="392"/>
      <c r="AD69" s="392"/>
      <c r="AE69" s="392"/>
      <c r="AF69" s="392"/>
      <c r="AG69" s="392"/>
      <c r="AH69" s="392"/>
      <c r="AI69" s="392"/>
      <c r="AJ69" s="392"/>
      <c r="AK69" s="392"/>
      <c r="AL69" s="392"/>
      <c r="AM69" s="392"/>
      <c r="AN69" s="392"/>
      <c r="AO69" s="392"/>
      <c r="AP69" s="392"/>
      <c r="AQ69" s="392"/>
      <c r="AR69" s="392"/>
      <c r="AS69" s="392"/>
      <c r="AT69" s="392"/>
      <c r="AU69" s="373"/>
      <c r="AV69" s="373"/>
      <c r="AW69" s="373"/>
      <c r="AX69" s="373"/>
      <c r="AY69" s="373"/>
      <c r="AZ69" s="373"/>
      <c r="BA69" s="373"/>
      <c r="BB69" s="373"/>
      <c r="BC69" s="373"/>
      <c r="BD69" s="373"/>
      <c r="BE69" s="373"/>
      <c r="BF69" s="373"/>
    </row>
    <row r="70" spans="1:58" s="390" customFormat="1" ht="12" customHeight="1" x14ac:dyDescent="0.15">
      <c r="A70" s="396"/>
      <c r="B70" s="396"/>
      <c r="C70" s="396" t="s">
        <v>2825</v>
      </c>
      <c r="D70" s="396"/>
      <c r="E70" s="396"/>
      <c r="F70" s="382"/>
      <c r="G70" s="424"/>
      <c r="H70" s="538"/>
      <c r="I70" s="538"/>
      <c r="J70" s="538"/>
      <c r="K70" s="538"/>
      <c r="L70" s="422"/>
      <c r="M70" s="541" t="str">
        <f t="shared" si="19"/>
        <v>--</v>
      </c>
      <c r="N70" s="438" t="str">
        <f t="shared" si="20"/>
        <v>--</v>
      </c>
      <c r="O70" s="438" t="str">
        <f t="shared" si="21"/>
        <v>--</v>
      </c>
      <c r="P70" s="356"/>
      <c r="Q70" s="422"/>
      <c r="R70" s="393"/>
      <c r="S70" s="393"/>
      <c r="T70" s="393"/>
      <c r="U70" s="392"/>
      <c r="V70" s="392"/>
      <c r="W70" s="392"/>
      <c r="X70" s="392"/>
      <c r="Y70" s="392"/>
      <c r="Z70" s="392"/>
      <c r="AA70" s="392"/>
      <c r="AB70" s="392"/>
      <c r="AC70" s="392"/>
      <c r="AD70" s="392"/>
      <c r="AE70" s="392"/>
      <c r="AF70" s="392"/>
      <c r="AG70" s="392"/>
      <c r="AH70" s="392"/>
      <c r="AI70" s="392"/>
      <c r="AJ70" s="392"/>
      <c r="AK70" s="392"/>
      <c r="AL70" s="392"/>
      <c r="AM70" s="392"/>
      <c r="AN70" s="392"/>
      <c r="AO70" s="392"/>
      <c r="AP70" s="392"/>
      <c r="AQ70" s="392"/>
      <c r="AR70" s="392"/>
      <c r="AS70" s="392"/>
      <c r="AT70" s="392"/>
      <c r="AU70" s="373"/>
      <c r="AV70" s="373"/>
      <c r="AW70" s="373"/>
      <c r="AX70" s="373"/>
      <c r="AY70" s="373"/>
      <c r="AZ70" s="373"/>
      <c r="BA70" s="373"/>
      <c r="BB70" s="373"/>
      <c r="BC70" s="373"/>
      <c r="BD70" s="373"/>
      <c r="BE70" s="373"/>
      <c r="BF70" s="373"/>
    </row>
    <row r="71" spans="1:58" s="390" customFormat="1" ht="12" customHeight="1" x14ac:dyDescent="0.15">
      <c r="A71" s="396"/>
      <c r="B71" s="396"/>
      <c r="C71" s="396" t="s">
        <v>2709</v>
      </c>
      <c r="D71" s="396"/>
      <c r="E71" s="396"/>
      <c r="F71" s="382"/>
      <c r="G71" s="424"/>
      <c r="H71" s="538"/>
      <c r="I71" s="538"/>
      <c r="J71" s="538"/>
      <c r="K71" s="538"/>
      <c r="L71" s="422"/>
      <c r="M71" s="541" t="str">
        <f t="shared" si="19"/>
        <v>--</v>
      </c>
      <c r="N71" s="438" t="str">
        <f t="shared" si="20"/>
        <v>--</v>
      </c>
      <c r="O71" s="438" t="str">
        <f t="shared" si="21"/>
        <v>--</v>
      </c>
      <c r="P71" s="356"/>
      <c r="Q71" s="422"/>
      <c r="R71" s="393"/>
      <c r="S71" s="393"/>
      <c r="T71" s="393"/>
      <c r="U71" s="392"/>
      <c r="V71" s="392"/>
      <c r="W71" s="392"/>
      <c r="X71" s="392"/>
      <c r="Y71" s="392"/>
      <c r="Z71" s="392"/>
      <c r="AA71" s="392"/>
      <c r="AB71" s="392"/>
      <c r="AC71" s="392"/>
      <c r="AD71" s="392"/>
      <c r="AE71" s="392"/>
      <c r="AF71" s="392"/>
      <c r="AG71" s="392"/>
      <c r="AH71" s="392"/>
      <c r="AI71" s="392"/>
      <c r="AJ71" s="392"/>
      <c r="AK71" s="392"/>
      <c r="AL71" s="392"/>
      <c r="AM71" s="392"/>
      <c r="AN71" s="392"/>
      <c r="AO71" s="392"/>
      <c r="AP71" s="392"/>
      <c r="AQ71" s="392"/>
      <c r="AR71" s="392"/>
      <c r="AS71" s="392"/>
      <c r="AT71" s="392"/>
      <c r="AU71" s="373"/>
      <c r="AV71" s="373"/>
      <c r="AW71" s="373"/>
      <c r="AX71" s="373"/>
      <c r="AY71" s="373"/>
      <c r="AZ71" s="373"/>
      <c r="BA71" s="373"/>
      <c r="BB71" s="373"/>
      <c r="BC71" s="373"/>
      <c r="BD71" s="373"/>
      <c r="BE71" s="373"/>
      <c r="BF71" s="373"/>
    </row>
    <row r="72" spans="1:58" s="390" customFormat="1" ht="12" customHeight="1" x14ac:dyDescent="0.15">
      <c r="A72" s="396"/>
      <c r="B72" s="396"/>
      <c r="C72" s="396" t="s">
        <v>2728</v>
      </c>
      <c r="D72" s="396"/>
      <c r="E72" s="396"/>
      <c r="F72" s="382"/>
      <c r="G72" s="424"/>
      <c r="H72" s="538"/>
      <c r="I72" s="538"/>
      <c r="J72" s="538"/>
      <c r="K72" s="538"/>
      <c r="L72" s="422"/>
      <c r="M72" s="541" t="str">
        <f t="shared" si="19"/>
        <v>--</v>
      </c>
      <c r="N72" s="438" t="str">
        <f t="shared" si="20"/>
        <v>--</v>
      </c>
      <c r="O72" s="438" t="str">
        <f t="shared" si="21"/>
        <v>--</v>
      </c>
      <c r="P72" s="356"/>
      <c r="Q72" s="422"/>
      <c r="R72" s="393"/>
      <c r="S72" s="393"/>
      <c r="T72" s="393"/>
      <c r="U72" s="392"/>
      <c r="V72" s="392"/>
      <c r="W72" s="392"/>
      <c r="X72" s="392"/>
      <c r="Y72" s="392"/>
      <c r="Z72" s="392"/>
      <c r="AA72" s="392"/>
      <c r="AB72" s="392"/>
      <c r="AC72" s="392"/>
      <c r="AD72" s="392"/>
      <c r="AE72" s="392"/>
      <c r="AF72" s="392"/>
      <c r="AG72" s="392"/>
      <c r="AH72" s="392"/>
      <c r="AI72" s="392"/>
      <c r="AJ72" s="392"/>
      <c r="AK72" s="392"/>
      <c r="AL72" s="392"/>
      <c r="AM72" s="392"/>
      <c r="AN72" s="392"/>
      <c r="AO72" s="392"/>
      <c r="AP72" s="392"/>
      <c r="AQ72" s="392"/>
      <c r="AR72" s="392"/>
      <c r="AS72" s="392"/>
      <c r="AT72" s="392"/>
      <c r="AU72" s="373"/>
      <c r="AV72" s="373"/>
      <c r="AW72" s="373"/>
      <c r="AX72" s="373"/>
      <c r="AY72" s="373"/>
      <c r="AZ72" s="373"/>
      <c r="BA72" s="373"/>
      <c r="BB72" s="373"/>
      <c r="BC72" s="373"/>
      <c r="BD72" s="373"/>
      <c r="BE72" s="373"/>
      <c r="BF72" s="373"/>
    </row>
    <row r="73" spans="1:58" s="390" customFormat="1" ht="12" customHeight="1" x14ac:dyDescent="0.15">
      <c r="A73" s="396"/>
      <c r="B73" s="396"/>
      <c r="C73" s="396" t="s">
        <v>2824</v>
      </c>
      <c r="D73" s="396"/>
      <c r="E73" s="396"/>
      <c r="F73" s="382"/>
      <c r="G73" s="424"/>
      <c r="H73" s="538"/>
      <c r="I73" s="538"/>
      <c r="J73" s="538"/>
      <c r="K73" s="538"/>
      <c r="L73" s="422"/>
      <c r="M73" s="541" t="str">
        <f t="shared" ref="M73:M100" si="22">IF(H73="","--",L73/H73)</f>
        <v>--</v>
      </c>
      <c r="N73" s="438" t="str">
        <f t="shared" si="20"/>
        <v>--</v>
      </c>
      <c r="O73" s="438" t="str">
        <f t="shared" si="21"/>
        <v>--</v>
      </c>
      <c r="P73" s="356"/>
      <c r="Q73" s="422"/>
      <c r="R73" s="393"/>
      <c r="S73" s="393"/>
      <c r="T73" s="393"/>
      <c r="U73" s="392"/>
      <c r="V73" s="392"/>
      <c r="W73" s="392"/>
      <c r="X73" s="392"/>
      <c r="Y73" s="392"/>
      <c r="Z73" s="392"/>
      <c r="AA73" s="392"/>
      <c r="AB73" s="392"/>
      <c r="AC73" s="392"/>
      <c r="AD73" s="392"/>
      <c r="AE73" s="392"/>
      <c r="AF73" s="392"/>
      <c r="AG73" s="392"/>
      <c r="AH73" s="392"/>
      <c r="AI73" s="392"/>
      <c r="AJ73" s="392"/>
      <c r="AK73" s="392"/>
      <c r="AL73" s="392"/>
      <c r="AM73" s="392"/>
      <c r="AN73" s="392"/>
      <c r="AO73" s="392"/>
      <c r="AP73" s="392"/>
      <c r="AQ73" s="392"/>
      <c r="AR73" s="392"/>
      <c r="AS73" s="392"/>
      <c r="AT73" s="392"/>
      <c r="AU73" s="373"/>
      <c r="AV73" s="373"/>
      <c r="AW73" s="373"/>
      <c r="AX73" s="373"/>
      <c r="AY73" s="373"/>
      <c r="AZ73" s="373"/>
      <c r="BA73" s="373"/>
      <c r="BB73" s="373"/>
      <c r="BC73" s="373"/>
      <c r="BD73" s="373"/>
      <c r="BE73" s="373"/>
      <c r="BF73" s="373"/>
    </row>
    <row r="74" spans="1:58" s="390" customFormat="1" ht="12" customHeight="1" x14ac:dyDescent="0.15">
      <c r="A74" s="396"/>
      <c r="B74" s="396"/>
      <c r="C74" s="396" t="s">
        <v>2666</v>
      </c>
      <c r="D74" s="396"/>
      <c r="E74" s="396"/>
      <c r="F74" s="382"/>
      <c r="G74" s="424"/>
      <c r="H74" s="538"/>
      <c r="I74" s="538"/>
      <c r="J74" s="538"/>
      <c r="K74" s="538"/>
      <c r="L74" s="422"/>
      <c r="M74" s="541" t="str">
        <f t="shared" si="22"/>
        <v>--</v>
      </c>
      <c r="N74" s="438" t="str">
        <f t="shared" si="20"/>
        <v>--</v>
      </c>
      <c r="O74" s="438" t="str">
        <f t="shared" si="21"/>
        <v>--</v>
      </c>
      <c r="P74" s="356"/>
      <c r="Q74" s="422"/>
      <c r="R74" s="393"/>
      <c r="S74" s="393"/>
      <c r="T74" s="393"/>
      <c r="U74" s="392"/>
      <c r="V74" s="392"/>
      <c r="W74" s="392"/>
      <c r="X74" s="392"/>
      <c r="Y74" s="392"/>
      <c r="Z74" s="392"/>
      <c r="AA74" s="392"/>
      <c r="AB74" s="392"/>
      <c r="AC74" s="392"/>
      <c r="AD74" s="392"/>
      <c r="AE74" s="392"/>
      <c r="AF74" s="392"/>
      <c r="AG74" s="392"/>
      <c r="AH74" s="392"/>
      <c r="AI74" s="392"/>
      <c r="AJ74" s="392"/>
      <c r="AK74" s="392"/>
      <c r="AL74" s="392"/>
      <c r="AM74" s="392"/>
      <c r="AN74" s="392"/>
      <c r="AO74" s="392"/>
      <c r="AP74" s="392"/>
      <c r="AQ74" s="392"/>
      <c r="AR74" s="392"/>
      <c r="AS74" s="392"/>
      <c r="AT74" s="392"/>
      <c r="AU74" s="373"/>
      <c r="AV74" s="373"/>
      <c r="AW74" s="373"/>
      <c r="AX74" s="373"/>
      <c r="AY74" s="373"/>
      <c r="AZ74" s="373"/>
      <c r="BA74" s="373"/>
      <c r="BB74" s="373"/>
      <c r="BC74" s="373"/>
      <c r="BD74" s="373"/>
      <c r="BE74" s="373"/>
      <c r="BF74" s="373"/>
    </row>
    <row r="75" spans="1:58" s="390" customFormat="1" ht="12" customHeight="1" x14ac:dyDescent="0.15">
      <c r="A75" s="396"/>
      <c r="B75" s="396"/>
      <c r="C75" s="396" t="s">
        <v>2632</v>
      </c>
      <c r="D75" s="396"/>
      <c r="E75" s="396"/>
      <c r="F75" s="382"/>
      <c r="G75" s="424"/>
      <c r="H75" s="538"/>
      <c r="I75" s="538"/>
      <c r="J75" s="538"/>
      <c r="K75" s="538"/>
      <c r="L75" s="422"/>
      <c r="M75" s="541" t="str">
        <f t="shared" si="22"/>
        <v>--</v>
      </c>
      <c r="N75" s="438" t="str">
        <f t="shared" si="20"/>
        <v>--</v>
      </c>
      <c r="O75" s="438" t="str">
        <f t="shared" si="21"/>
        <v>--</v>
      </c>
      <c r="P75" s="356"/>
      <c r="Q75" s="422"/>
      <c r="R75" s="393"/>
      <c r="S75" s="393"/>
      <c r="T75" s="393"/>
      <c r="U75" s="392"/>
      <c r="V75" s="392"/>
      <c r="W75" s="392"/>
      <c r="X75" s="392"/>
      <c r="Y75" s="392"/>
      <c r="Z75" s="392"/>
      <c r="AA75" s="392"/>
      <c r="AB75" s="392"/>
      <c r="AC75" s="392"/>
      <c r="AD75" s="392"/>
      <c r="AE75" s="392"/>
      <c r="AF75" s="392"/>
      <c r="AG75" s="392"/>
      <c r="AH75" s="392"/>
      <c r="AI75" s="392"/>
      <c r="AJ75" s="392"/>
      <c r="AK75" s="392"/>
      <c r="AL75" s="392"/>
      <c r="AM75" s="392"/>
      <c r="AN75" s="392"/>
      <c r="AO75" s="392"/>
      <c r="AP75" s="392"/>
      <c r="AQ75" s="392"/>
      <c r="AR75" s="392"/>
      <c r="AS75" s="392"/>
      <c r="AT75" s="392"/>
      <c r="AU75" s="373"/>
      <c r="AV75" s="373"/>
      <c r="AW75" s="373"/>
      <c r="AX75" s="373"/>
      <c r="AY75" s="373"/>
      <c r="AZ75" s="373"/>
      <c r="BA75" s="373"/>
      <c r="BB75" s="373"/>
      <c r="BC75" s="373"/>
      <c r="BD75" s="373"/>
      <c r="BE75" s="373"/>
      <c r="BF75" s="373"/>
    </row>
    <row r="76" spans="1:58" s="390" customFormat="1" ht="12" customHeight="1" x14ac:dyDescent="0.15">
      <c r="A76" s="396"/>
      <c r="B76" s="396"/>
      <c r="C76" s="396" t="s">
        <v>2823</v>
      </c>
      <c r="D76" s="396"/>
      <c r="E76" s="396"/>
      <c r="F76" s="382"/>
      <c r="G76" s="424"/>
      <c r="H76" s="538"/>
      <c r="I76" s="538"/>
      <c r="J76" s="538"/>
      <c r="K76" s="538"/>
      <c r="L76" s="422"/>
      <c r="M76" s="541" t="str">
        <f t="shared" si="22"/>
        <v>--</v>
      </c>
      <c r="N76" s="438" t="str">
        <f t="shared" si="20"/>
        <v>--</v>
      </c>
      <c r="O76" s="438" t="str">
        <f t="shared" si="21"/>
        <v>--</v>
      </c>
      <c r="P76" s="356"/>
      <c r="Q76" s="422"/>
      <c r="R76" s="393"/>
      <c r="S76" s="393"/>
      <c r="T76" s="393"/>
      <c r="U76" s="392"/>
      <c r="V76" s="392"/>
      <c r="W76" s="392"/>
      <c r="X76" s="392"/>
      <c r="Y76" s="392"/>
      <c r="Z76" s="392"/>
      <c r="AA76" s="392"/>
      <c r="AB76" s="392"/>
      <c r="AC76" s="392"/>
      <c r="AD76" s="392"/>
      <c r="AE76" s="392"/>
      <c r="AF76" s="392"/>
      <c r="AG76" s="392"/>
      <c r="AH76" s="392"/>
      <c r="AI76" s="392"/>
      <c r="AJ76" s="392"/>
      <c r="AK76" s="392"/>
      <c r="AL76" s="392"/>
      <c r="AM76" s="392"/>
      <c r="AN76" s="392"/>
      <c r="AO76" s="392"/>
      <c r="AP76" s="392"/>
      <c r="AQ76" s="392"/>
      <c r="AR76" s="392"/>
      <c r="AS76" s="392"/>
      <c r="AT76" s="392"/>
      <c r="AU76" s="373"/>
      <c r="AV76" s="373"/>
      <c r="AW76" s="373"/>
      <c r="AX76" s="373"/>
      <c r="AY76" s="373"/>
      <c r="AZ76" s="373"/>
      <c r="BA76" s="373"/>
      <c r="BB76" s="373"/>
      <c r="BC76" s="373"/>
      <c r="BD76" s="373"/>
      <c r="BE76" s="373"/>
      <c r="BF76" s="373"/>
    </row>
    <row r="77" spans="1:58" s="390" customFormat="1" ht="12" customHeight="1" x14ac:dyDescent="0.15">
      <c r="A77" s="396"/>
      <c r="B77" s="396"/>
      <c r="C77" s="396" t="s">
        <v>2822</v>
      </c>
      <c r="D77" s="396"/>
      <c r="E77" s="396"/>
      <c r="F77" s="382"/>
      <c r="G77" s="424"/>
      <c r="H77" s="538"/>
      <c r="I77" s="538"/>
      <c r="J77" s="538"/>
      <c r="K77" s="538"/>
      <c r="L77" s="422"/>
      <c r="M77" s="541" t="str">
        <f t="shared" si="22"/>
        <v>--</v>
      </c>
      <c r="N77" s="438" t="str">
        <f t="shared" si="20"/>
        <v>--</v>
      </c>
      <c r="O77" s="438" t="str">
        <f t="shared" si="21"/>
        <v>--</v>
      </c>
      <c r="P77" s="356"/>
      <c r="Q77" s="422"/>
      <c r="R77" s="393"/>
      <c r="S77" s="393"/>
      <c r="T77" s="393"/>
      <c r="U77" s="392"/>
      <c r="V77" s="392"/>
      <c r="W77" s="392"/>
      <c r="X77" s="392"/>
      <c r="Y77" s="392"/>
      <c r="Z77" s="392"/>
      <c r="AA77" s="392"/>
      <c r="AB77" s="392"/>
      <c r="AC77" s="392"/>
      <c r="AD77" s="392"/>
      <c r="AE77" s="392"/>
      <c r="AF77" s="392"/>
      <c r="AG77" s="392"/>
      <c r="AH77" s="392"/>
      <c r="AI77" s="392"/>
      <c r="AJ77" s="392"/>
      <c r="AK77" s="392"/>
      <c r="AL77" s="392"/>
      <c r="AM77" s="392"/>
      <c r="AN77" s="392"/>
      <c r="AO77" s="392"/>
      <c r="AP77" s="392"/>
      <c r="AQ77" s="392"/>
      <c r="AR77" s="392"/>
      <c r="AS77" s="392"/>
      <c r="AT77" s="392"/>
      <c r="AU77" s="373"/>
      <c r="AV77" s="373"/>
      <c r="AW77" s="373"/>
      <c r="AX77" s="373"/>
      <c r="AY77" s="373"/>
      <c r="AZ77" s="373"/>
      <c r="BA77" s="373"/>
      <c r="BB77" s="373"/>
      <c r="BC77" s="373"/>
      <c r="BD77" s="373"/>
      <c r="BE77" s="373"/>
      <c r="BF77" s="373"/>
    </row>
    <row r="78" spans="1:58" s="390" customFormat="1" ht="12" customHeight="1" x14ac:dyDescent="0.15">
      <c r="A78" s="396"/>
      <c r="B78" s="396"/>
      <c r="C78" s="396" t="s">
        <v>2675</v>
      </c>
      <c r="D78" s="396"/>
      <c r="E78" s="396"/>
      <c r="F78" s="382"/>
      <c r="G78" s="424"/>
      <c r="H78" s="538"/>
      <c r="I78" s="538"/>
      <c r="J78" s="538"/>
      <c r="K78" s="538"/>
      <c r="L78" s="422"/>
      <c r="M78" s="541" t="str">
        <f t="shared" si="22"/>
        <v>--</v>
      </c>
      <c r="N78" s="438" t="str">
        <f t="shared" si="20"/>
        <v>--</v>
      </c>
      <c r="O78" s="438" t="str">
        <f t="shared" si="21"/>
        <v>--</v>
      </c>
      <c r="P78" s="356"/>
      <c r="Q78" s="422"/>
      <c r="R78" s="393"/>
      <c r="S78" s="393"/>
      <c r="T78" s="393"/>
      <c r="U78" s="392"/>
      <c r="V78" s="392"/>
      <c r="W78" s="392"/>
      <c r="X78" s="392"/>
      <c r="Y78" s="392"/>
      <c r="Z78" s="392"/>
      <c r="AA78" s="392"/>
      <c r="AB78" s="392"/>
      <c r="AC78" s="392"/>
      <c r="AD78" s="392"/>
      <c r="AE78" s="392"/>
      <c r="AF78" s="392"/>
      <c r="AG78" s="392"/>
      <c r="AH78" s="392"/>
      <c r="AI78" s="392"/>
      <c r="AJ78" s="392"/>
      <c r="AK78" s="392"/>
      <c r="AL78" s="392"/>
      <c r="AM78" s="392"/>
      <c r="AN78" s="392"/>
      <c r="AO78" s="392"/>
      <c r="AP78" s="392"/>
      <c r="AQ78" s="392"/>
      <c r="AR78" s="392"/>
      <c r="AS78" s="392"/>
      <c r="AT78" s="392"/>
      <c r="AU78" s="373"/>
      <c r="AV78" s="373"/>
      <c r="AW78" s="373"/>
      <c r="AX78" s="373"/>
      <c r="AY78" s="373"/>
      <c r="AZ78" s="373"/>
      <c r="BA78" s="373"/>
      <c r="BB78" s="373"/>
      <c r="BC78" s="373"/>
      <c r="BD78" s="373"/>
      <c r="BE78" s="373"/>
      <c r="BF78" s="373"/>
    </row>
    <row r="79" spans="1:58" s="390" customFormat="1" ht="12" customHeight="1" x14ac:dyDescent="0.15">
      <c r="A79" s="396"/>
      <c r="B79" s="396"/>
      <c r="C79" s="396" t="s">
        <v>2821</v>
      </c>
      <c r="D79" s="396"/>
      <c r="E79" s="396"/>
      <c r="F79" s="382"/>
      <c r="G79" s="424"/>
      <c r="H79" s="538"/>
      <c r="I79" s="538"/>
      <c r="J79" s="538"/>
      <c r="K79" s="538"/>
      <c r="L79" s="422"/>
      <c r="M79" s="541" t="str">
        <f t="shared" si="22"/>
        <v>--</v>
      </c>
      <c r="N79" s="438" t="str">
        <f t="shared" si="20"/>
        <v>--</v>
      </c>
      <c r="O79" s="438" t="str">
        <f t="shared" si="21"/>
        <v>--</v>
      </c>
      <c r="P79" s="356"/>
      <c r="Q79" s="422"/>
      <c r="R79" s="393"/>
      <c r="S79" s="393"/>
      <c r="T79" s="393"/>
      <c r="U79" s="392"/>
      <c r="V79" s="392"/>
      <c r="W79" s="392"/>
      <c r="X79" s="392"/>
      <c r="Y79" s="392"/>
      <c r="Z79" s="392"/>
      <c r="AA79" s="392"/>
      <c r="AB79" s="392"/>
      <c r="AC79" s="392"/>
      <c r="AD79" s="392"/>
      <c r="AE79" s="392"/>
      <c r="AF79" s="392"/>
      <c r="AG79" s="392"/>
      <c r="AH79" s="392"/>
      <c r="AI79" s="392"/>
      <c r="AJ79" s="392"/>
      <c r="AK79" s="392"/>
      <c r="AL79" s="392"/>
      <c r="AM79" s="392"/>
      <c r="AN79" s="392"/>
      <c r="AO79" s="392"/>
      <c r="AP79" s="392"/>
      <c r="AQ79" s="392"/>
      <c r="AR79" s="392"/>
      <c r="AS79" s="392"/>
      <c r="AT79" s="392"/>
      <c r="AU79" s="373"/>
      <c r="AV79" s="373"/>
      <c r="AW79" s="373"/>
      <c r="AX79" s="373"/>
      <c r="AY79" s="373"/>
      <c r="AZ79" s="373"/>
      <c r="BA79" s="373"/>
      <c r="BB79" s="373"/>
      <c r="BC79" s="373"/>
      <c r="BD79" s="373"/>
      <c r="BE79" s="373"/>
      <c r="BF79" s="373"/>
    </row>
    <row r="80" spans="1:58" s="390" customFormat="1" ht="12" customHeight="1" x14ac:dyDescent="0.15">
      <c r="A80" s="396"/>
      <c r="B80" s="396"/>
      <c r="C80" s="396" t="s">
        <v>2820</v>
      </c>
      <c r="D80" s="396"/>
      <c r="E80" s="396"/>
      <c r="F80" s="382"/>
      <c r="G80" s="424"/>
      <c r="H80" s="538"/>
      <c r="I80" s="538"/>
      <c r="J80" s="538"/>
      <c r="K80" s="538"/>
      <c r="L80" s="422"/>
      <c r="M80" s="541" t="str">
        <f t="shared" si="22"/>
        <v>--</v>
      </c>
      <c r="N80" s="438" t="str">
        <f t="shared" si="20"/>
        <v>--</v>
      </c>
      <c r="O80" s="438" t="str">
        <f t="shared" si="21"/>
        <v>--</v>
      </c>
      <c r="P80" s="356"/>
      <c r="Q80" s="422"/>
      <c r="R80" s="393"/>
      <c r="S80" s="393"/>
      <c r="T80" s="393"/>
      <c r="U80" s="392"/>
      <c r="V80" s="392"/>
      <c r="W80" s="392"/>
      <c r="X80" s="392"/>
      <c r="Y80" s="392"/>
      <c r="Z80" s="392"/>
      <c r="AA80" s="392"/>
      <c r="AB80" s="392"/>
      <c r="AC80" s="392"/>
      <c r="AD80" s="392"/>
      <c r="AE80" s="392"/>
      <c r="AF80" s="392"/>
      <c r="AG80" s="392"/>
      <c r="AH80" s="392"/>
      <c r="AI80" s="392"/>
      <c r="AJ80" s="392"/>
      <c r="AK80" s="392"/>
      <c r="AL80" s="392"/>
      <c r="AM80" s="392"/>
      <c r="AN80" s="392"/>
      <c r="AO80" s="392"/>
      <c r="AP80" s="392"/>
      <c r="AQ80" s="392"/>
      <c r="AR80" s="392"/>
      <c r="AS80" s="392"/>
      <c r="AT80" s="392"/>
      <c r="AU80" s="373"/>
      <c r="AV80" s="373"/>
      <c r="AW80" s="373"/>
      <c r="AX80" s="373"/>
      <c r="AY80" s="373"/>
      <c r="AZ80" s="373"/>
      <c r="BA80" s="373"/>
      <c r="BB80" s="373"/>
      <c r="BC80" s="373"/>
      <c r="BD80" s="373"/>
      <c r="BE80" s="373"/>
      <c r="BF80" s="373"/>
    </row>
    <row r="81" spans="1:58" s="390" customFormat="1" ht="12" customHeight="1" x14ac:dyDescent="0.15">
      <c r="A81" s="396"/>
      <c r="B81" s="396"/>
      <c r="C81" s="396" t="s">
        <v>2819</v>
      </c>
      <c r="D81" s="396"/>
      <c r="E81" s="396"/>
      <c r="F81" s="382"/>
      <c r="G81" s="424"/>
      <c r="H81" s="538"/>
      <c r="I81" s="538"/>
      <c r="J81" s="538"/>
      <c r="K81" s="538"/>
      <c r="L81" s="422"/>
      <c r="M81" s="541" t="str">
        <f t="shared" si="22"/>
        <v>--</v>
      </c>
      <c r="N81" s="438" t="str">
        <f t="shared" si="20"/>
        <v>--</v>
      </c>
      <c r="O81" s="438" t="str">
        <f t="shared" si="21"/>
        <v>--</v>
      </c>
      <c r="P81" s="356"/>
      <c r="Q81" s="422"/>
      <c r="R81" s="393"/>
      <c r="S81" s="393"/>
      <c r="T81" s="393"/>
      <c r="U81" s="392"/>
      <c r="V81" s="392"/>
      <c r="W81" s="392"/>
      <c r="X81" s="392"/>
      <c r="Y81" s="392"/>
      <c r="Z81" s="392"/>
      <c r="AA81" s="392"/>
      <c r="AB81" s="392"/>
      <c r="AC81" s="392"/>
      <c r="AD81" s="392"/>
      <c r="AE81" s="392"/>
      <c r="AF81" s="392"/>
      <c r="AG81" s="392"/>
      <c r="AH81" s="392"/>
      <c r="AI81" s="392"/>
      <c r="AJ81" s="392"/>
      <c r="AK81" s="392"/>
      <c r="AL81" s="392"/>
      <c r="AM81" s="392"/>
      <c r="AN81" s="392"/>
      <c r="AO81" s="392"/>
      <c r="AP81" s="392"/>
      <c r="AQ81" s="392"/>
      <c r="AR81" s="392"/>
      <c r="AS81" s="392"/>
      <c r="AT81" s="392"/>
      <c r="AU81" s="373"/>
      <c r="AV81" s="373"/>
      <c r="AW81" s="373"/>
      <c r="AX81" s="373"/>
      <c r="AY81" s="373"/>
      <c r="AZ81" s="373"/>
      <c r="BA81" s="373"/>
      <c r="BB81" s="373"/>
      <c r="BC81" s="373"/>
      <c r="BD81" s="373"/>
      <c r="BE81" s="373"/>
      <c r="BF81" s="373"/>
    </row>
    <row r="82" spans="1:58" s="390" customFormat="1" ht="12" customHeight="1" x14ac:dyDescent="0.15">
      <c r="A82" s="396"/>
      <c r="B82" s="396"/>
      <c r="C82" s="396" t="s">
        <v>2571</v>
      </c>
      <c r="D82" s="396"/>
      <c r="E82" s="396"/>
      <c r="F82" s="382"/>
      <c r="G82" s="424"/>
      <c r="H82" s="538"/>
      <c r="I82" s="538"/>
      <c r="J82" s="538"/>
      <c r="K82" s="538"/>
      <c r="L82" s="422"/>
      <c r="M82" s="541" t="str">
        <f t="shared" si="22"/>
        <v>--</v>
      </c>
      <c r="N82" s="438" t="str">
        <f t="shared" si="20"/>
        <v>--</v>
      </c>
      <c r="O82" s="438" t="str">
        <f t="shared" si="21"/>
        <v>--</v>
      </c>
      <c r="P82" s="356"/>
      <c r="Q82" s="422"/>
      <c r="R82" s="393"/>
      <c r="S82" s="393"/>
      <c r="T82" s="393"/>
      <c r="U82" s="392"/>
      <c r="V82" s="392"/>
      <c r="W82" s="392"/>
      <c r="X82" s="392"/>
      <c r="Y82" s="392"/>
      <c r="Z82" s="392"/>
      <c r="AA82" s="392"/>
      <c r="AB82" s="392"/>
      <c r="AC82" s="392"/>
      <c r="AD82" s="392"/>
      <c r="AE82" s="392"/>
      <c r="AF82" s="392"/>
      <c r="AG82" s="392"/>
      <c r="AH82" s="392"/>
      <c r="AI82" s="392"/>
      <c r="AJ82" s="392"/>
      <c r="AK82" s="392"/>
      <c r="AL82" s="392"/>
      <c r="AM82" s="392"/>
      <c r="AN82" s="392"/>
      <c r="AO82" s="392"/>
      <c r="AP82" s="392"/>
      <c r="AQ82" s="392"/>
      <c r="AR82" s="392"/>
      <c r="AS82" s="392"/>
      <c r="AT82" s="392"/>
      <c r="AU82" s="373"/>
      <c r="AV82" s="373"/>
      <c r="AW82" s="373"/>
      <c r="AX82" s="373"/>
      <c r="AY82" s="373"/>
      <c r="AZ82" s="373"/>
      <c r="BA82" s="373"/>
      <c r="BB82" s="373"/>
      <c r="BC82" s="373"/>
      <c r="BD82" s="373"/>
      <c r="BE82" s="373"/>
      <c r="BF82" s="373"/>
    </row>
    <row r="83" spans="1:58" s="390" customFormat="1" ht="12" customHeight="1" x14ac:dyDescent="0.15">
      <c r="A83" s="396"/>
      <c r="B83" s="396"/>
      <c r="C83" s="396" t="s">
        <v>2721</v>
      </c>
      <c r="D83" s="396"/>
      <c r="E83" s="396"/>
      <c r="F83" s="382"/>
      <c r="G83" s="424"/>
      <c r="H83" s="538"/>
      <c r="I83" s="538"/>
      <c r="J83" s="538"/>
      <c r="K83" s="538"/>
      <c r="L83" s="422"/>
      <c r="M83" s="541" t="str">
        <f t="shared" si="22"/>
        <v>--</v>
      </c>
      <c r="N83" s="438" t="str">
        <f t="shared" si="20"/>
        <v>--</v>
      </c>
      <c r="O83" s="438" t="str">
        <f t="shared" si="21"/>
        <v>--</v>
      </c>
      <c r="P83" s="356"/>
      <c r="Q83" s="422"/>
      <c r="R83" s="393"/>
      <c r="S83" s="393"/>
      <c r="T83" s="393"/>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73"/>
      <c r="AV83" s="373"/>
      <c r="AW83" s="373"/>
      <c r="AX83" s="373"/>
      <c r="AY83" s="373"/>
      <c r="AZ83" s="373"/>
      <c r="BA83" s="373"/>
      <c r="BB83" s="373"/>
      <c r="BC83" s="373"/>
      <c r="BD83" s="373"/>
      <c r="BE83" s="373"/>
      <c r="BF83" s="373"/>
    </row>
    <row r="84" spans="1:58" s="390" customFormat="1" ht="12" customHeight="1" x14ac:dyDescent="0.15">
      <c r="A84" s="396"/>
      <c r="B84" s="396"/>
      <c r="C84" s="396" t="s">
        <v>2818</v>
      </c>
      <c r="D84" s="396"/>
      <c r="E84" s="396"/>
      <c r="F84" s="382"/>
      <c r="G84" s="424"/>
      <c r="H84" s="538"/>
      <c r="I84" s="538"/>
      <c r="J84" s="538"/>
      <c r="K84" s="538"/>
      <c r="L84" s="422"/>
      <c r="M84" s="541" t="str">
        <f t="shared" si="22"/>
        <v>--</v>
      </c>
      <c r="N84" s="438" t="str">
        <f t="shared" si="20"/>
        <v>--</v>
      </c>
      <c r="O84" s="438" t="str">
        <f t="shared" si="21"/>
        <v>--</v>
      </c>
      <c r="P84" s="356"/>
      <c r="Q84" s="422"/>
      <c r="R84" s="393"/>
      <c r="S84" s="393"/>
      <c r="T84" s="393"/>
      <c r="U84" s="392"/>
      <c r="V84" s="392"/>
      <c r="W84" s="392"/>
      <c r="X84" s="392"/>
      <c r="Y84" s="392"/>
      <c r="Z84" s="392"/>
      <c r="AA84" s="392"/>
      <c r="AB84" s="392"/>
      <c r="AC84" s="392"/>
      <c r="AD84" s="392"/>
      <c r="AE84" s="392"/>
      <c r="AF84" s="392"/>
      <c r="AG84" s="392"/>
      <c r="AH84" s="392"/>
      <c r="AI84" s="392"/>
      <c r="AJ84" s="392"/>
      <c r="AK84" s="392"/>
      <c r="AL84" s="392"/>
      <c r="AM84" s="392"/>
      <c r="AN84" s="392"/>
      <c r="AO84" s="392"/>
      <c r="AP84" s="392"/>
      <c r="AQ84" s="392"/>
      <c r="AR84" s="392"/>
      <c r="AS84" s="392"/>
      <c r="AT84" s="392"/>
      <c r="AU84" s="373"/>
      <c r="AV84" s="373"/>
      <c r="AW84" s="373"/>
      <c r="AX84" s="373"/>
      <c r="AY84" s="373"/>
      <c r="AZ84" s="373"/>
      <c r="BA84" s="373"/>
      <c r="BB84" s="373"/>
      <c r="BC84" s="373"/>
      <c r="BD84" s="373"/>
      <c r="BE84" s="373"/>
      <c r="BF84" s="373"/>
    </row>
    <row r="85" spans="1:58" s="390" customFormat="1" ht="12" customHeight="1" x14ac:dyDescent="0.15">
      <c r="A85" s="396"/>
      <c r="B85" s="396"/>
      <c r="C85" s="396" t="s">
        <v>2817</v>
      </c>
      <c r="D85" s="396"/>
      <c r="E85" s="396"/>
      <c r="F85" s="382"/>
      <c r="G85" s="424"/>
      <c r="H85" s="538"/>
      <c r="I85" s="538"/>
      <c r="J85" s="538"/>
      <c r="K85" s="538"/>
      <c r="L85" s="422"/>
      <c r="M85" s="541" t="str">
        <f t="shared" si="22"/>
        <v>--</v>
      </c>
      <c r="N85" s="438" t="str">
        <f t="shared" si="20"/>
        <v>--</v>
      </c>
      <c r="O85" s="438" t="str">
        <f t="shared" si="21"/>
        <v>--</v>
      </c>
      <c r="P85" s="356"/>
      <c r="Q85" s="422"/>
      <c r="R85" s="393"/>
      <c r="S85" s="393"/>
      <c r="T85" s="393"/>
      <c r="U85" s="392"/>
      <c r="V85" s="392"/>
      <c r="W85" s="392"/>
      <c r="X85" s="392"/>
      <c r="Y85" s="392"/>
      <c r="Z85" s="392"/>
      <c r="AA85" s="392"/>
      <c r="AB85" s="392"/>
      <c r="AC85" s="392"/>
      <c r="AD85" s="392"/>
      <c r="AE85" s="392"/>
      <c r="AF85" s="392"/>
      <c r="AG85" s="392"/>
      <c r="AH85" s="392"/>
      <c r="AI85" s="392"/>
      <c r="AJ85" s="392"/>
      <c r="AK85" s="392"/>
      <c r="AL85" s="392"/>
      <c r="AM85" s="392"/>
      <c r="AN85" s="392"/>
      <c r="AO85" s="392"/>
      <c r="AP85" s="392"/>
      <c r="AQ85" s="392"/>
      <c r="AR85" s="392"/>
      <c r="AS85" s="392"/>
      <c r="AT85" s="392"/>
      <c r="AU85" s="373"/>
      <c r="AV85" s="373"/>
      <c r="AW85" s="373"/>
      <c r="AX85" s="373"/>
      <c r="AY85" s="373"/>
      <c r="AZ85" s="373"/>
      <c r="BA85" s="373"/>
      <c r="BB85" s="373"/>
      <c r="BC85" s="373"/>
      <c r="BD85" s="373"/>
      <c r="BE85" s="373"/>
      <c r="BF85" s="373"/>
    </row>
    <row r="86" spans="1:58" s="390" customFormat="1" ht="12" customHeight="1" x14ac:dyDescent="0.15">
      <c r="A86" s="396"/>
      <c r="B86" s="396"/>
      <c r="C86" s="396" t="s">
        <v>2816</v>
      </c>
      <c r="D86" s="396"/>
      <c r="E86" s="396"/>
      <c r="F86" s="382"/>
      <c r="G86" s="424"/>
      <c r="H86" s="538"/>
      <c r="I86" s="538"/>
      <c r="J86" s="538"/>
      <c r="K86" s="538"/>
      <c r="L86" s="422"/>
      <c r="M86" s="541" t="str">
        <f t="shared" si="22"/>
        <v>--</v>
      </c>
      <c r="N86" s="438" t="str">
        <f t="shared" ref="N86:N100" si="23">IF(H86="","--",I86/H86)</f>
        <v>--</v>
      </c>
      <c r="O86" s="438" t="str">
        <f t="shared" ref="O86:O100" si="24">IF(H86="","--",SUM(I86:K86)/H86)</f>
        <v>--</v>
      </c>
      <c r="P86" s="356"/>
      <c r="Q86" s="422"/>
      <c r="R86" s="393"/>
      <c r="S86" s="393"/>
      <c r="T86" s="393"/>
      <c r="U86" s="392"/>
      <c r="V86" s="392"/>
      <c r="W86" s="392"/>
      <c r="X86" s="392"/>
      <c r="Y86" s="392"/>
      <c r="Z86" s="392"/>
      <c r="AA86" s="392"/>
      <c r="AB86" s="392"/>
      <c r="AC86" s="392"/>
      <c r="AD86" s="392"/>
      <c r="AE86" s="392"/>
      <c r="AF86" s="392"/>
      <c r="AG86" s="392"/>
      <c r="AH86" s="392"/>
      <c r="AI86" s="392"/>
      <c r="AJ86" s="392"/>
      <c r="AK86" s="392"/>
      <c r="AL86" s="392"/>
      <c r="AM86" s="392"/>
      <c r="AN86" s="392"/>
      <c r="AO86" s="392"/>
      <c r="AP86" s="392"/>
      <c r="AQ86" s="392"/>
      <c r="AR86" s="392"/>
      <c r="AS86" s="392"/>
      <c r="AT86" s="392"/>
      <c r="AU86" s="373"/>
      <c r="AV86" s="373"/>
      <c r="AW86" s="373"/>
      <c r="AX86" s="373"/>
      <c r="AY86" s="373"/>
      <c r="AZ86" s="373"/>
      <c r="BA86" s="373"/>
      <c r="BB86" s="373"/>
      <c r="BC86" s="373"/>
      <c r="BD86" s="373"/>
      <c r="BE86" s="373"/>
      <c r="BF86" s="373"/>
    </row>
    <row r="87" spans="1:58" s="390" customFormat="1" ht="12" customHeight="1" x14ac:dyDescent="0.15">
      <c r="A87" s="396"/>
      <c r="B87" s="396"/>
      <c r="C87" s="396" t="s">
        <v>2759</v>
      </c>
      <c r="D87" s="396"/>
      <c r="E87" s="396"/>
      <c r="F87" s="382"/>
      <c r="G87" s="424"/>
      <c r="H87" s="538"/>
      <c r="I87" s="538"/>
      <c r="J87" s="538"/>
      <c r="K87" s="538"/>
      <c r="L87" s="422"/>
      <c r="M87" s="541" t="str">
        <f t="shared" si="22"/>
        <v>--</v>
      </c>
      <c r="N87" s="438" t="str">
        <f t="shared" si="23"/>
        <v>--</v>
      </c>
      <c r="O87" s="438" t="str">
        <f t="shared" si="24"/>
        <v>--</v>
      </c>
      <c r="P87" s="356"/>
      <c r="Q87" s="422"/>
      <c r="R87" s="393"/>
      <c r="S87" s="393"/>
      <c r="T87" s="393"/>
      <c r="U87" s="392"/>
      <c r="V87" s="392"/>
      <c r="W87" s="392"/>
      <c r="X87" s="392"/>
      <c r="Y87" s="392"/>
      <c r="Z87" s="392"/>
      <c r="AA87" s="392"/>
      <c r="AB87" s="392"/>
      <c r="AC87" s="392"/>
      <c r="AD87" s="392"/>
      <c r="AE87" s="392"/>
      <c r="AF87" s="392"/>
      <c r="AG87" s="392"/>
      <c r="AH87" s="392"/>
      <c r="AI87" s="392"/>
      <c r="AJ87" s="392"/>
      <c r="AK87" s="392"/>
      <c r="AL87" s="392"/>
      <c r="AM87" s="392"/>
      <c r="AN87" s="392"/>
      <c r="AO87" s="392"/>
      <c r="AP87" s="392"/>
      <c r="AQ87" s="392"/>
      <c r="AR87" s="392"/>
      <c r="AS87" s="392"/>
      <c r="AT87" s="392"/>
      <c r="AU87" s="373"/>
      <c r="AV87" s="373"/>
      <c r="AW87" s="373"/>
      <c r="AX87" s="373"/>
      <c r="AY87" s="373"/>
      <c r="AZ87" s="373"/>
      <c r="BA87" s="373"/>
      <c r="BB87" s="373"/>
      <c r="BC87" s="373"/>
      <c r="BD87" s="373"/>
      <c r="BE87" s="373"/>
      <c r="BF87" s="373"/>
    </row>
    <row r="88" spans="1:58" s="390" customFormat="1" ht="12" customHeight="1" x14ac:dyDescent="0.15">
      <c r="A88" s="396"/>
      <c r="B88" s="396"/>
      <c r="C88" s="396" t="s">
        <v>2775</v>
      </c>
      <c r="D88" s="396"/>
      <c r="E88" s="396"/>
      <c r="F88" s="382"/>
      <c r="G88" s="424"/>
      <c r="H88" s="538"/>
      <c r="I88" s="538"/>
      <c r="J88" s="538"/>
      <c r="K88" s="538"/>
      <c r="L88" s="422"/>
      <c r="M88" s="541" t="str">
        <f t="shared" si="22"/>
        <v>--</v>
      </c>
      <c r="N88" s="438" t="str">
        <f t="shared" si="23"/>
        <v>--</v>
      </c>
      <c r="O88" s="438" t="str">
        <f t="shared" si="24"/>
        <v>--</v>
      </c>
      <c r="P88" s="356"/>
      <c r="Q88" s="422"/>
      <c r="R88" s="393"/>
      <c r="S88" s="393"/>
      <c r="T88" s="393"/>
      <c r="U88" s="392"/>
      <c r="V88" s="392"/>
      <c r="W88" s="392"/>
      <c r="X88" s="392"/>
      <c r="Y88" s="392"/>
      <c r="Z88" s="392"/>
      <c r="AA88" s="392"/>
      <c r="AB88" s="392"/>
      <c r="AC88" s="392"/>
      <c r="AD88" s="392"/>
      <c r="AE88" s="392"/>
      <c r="AF88" s="392"/>
      <c r="AG88" s="392"/>
      <c r="AH88" s="392"/>
      <c r="AI88" s="392"/>
      <c r="AJ88" s="392"/>
      <c r="AK88" s="392"/>
      <c r="AL88" s="392"/>
      <c r="AM88" s="392"/>
      <c r="AN88" s="392"/>
      <c r="AO88" s="392"/>
      <c r="AP88" s="392"/>
      <c r="AQ88" s="392"/>
      <c r="AR88" s="392"/>
      <c r="AS88" s="392"/>
      <c r="AT88" s="392"/>
      <c r="AU88" s="373"/>
      <c r="AV88" s="373"/>
      <c r="AW88" s="373"/>
      <c r="AX88" s="373"/>
      <c r="AY88" s="373"/>
      <c r="AZ88" s="373"/>
      <c r="BA88" s="373"/>
      <c r="BB88" s="373"/>
      <c r="BC88" s="373"/>
      <c r="BD88" s="373"/>
      <c r="BE88" s="373"/>
      <c r="BF88" s="373"/>
    </row>
    <row r="89" spans="1:58" s="390" customFormat="1" ht="12" customHeight="1" x14ac:dyDescent="0.15">
      <c r="A89" s="396"/>
      <c r="B89" s="396"/>
      <c r="C89" s="396" t="s">
        <v>2815</v>
      </c>
      <c r="D89" s="396"/>
      <c r="E89" s="396"/>
      <c r="F89" s="382"/>
      <c r="G89" s="424"/>
      <c r="H89" s="538"/>
      <c r="I89" s="538"/>
      <c r="J89" s="538"/>
      <c r="K89" s="538"/>
      <c r="L89" s="422"/>
      <c r="M89" s="541" t="str">
        <f t="shared" si="22"/>
        <v>--</v>
      </c>
      <c r="N89" s="438" t="str">
        <f t="shared" si="23"/>
        <v>--</v>
      </c>
      <c r="O89" s="438" t="str">
        <f t="shared" si="24"/>
        <v>--</v>
      </c>
      <c r="P89" s="356"/>
      <c r="Q89" s="422"/>
      <c r="R89" s="393"/>
      <c r="S89" s="393"/>
      <c r="T89" s="393"/>
      <c r="U89" s="392"/>
      <c r="V89" s="392"/>
      <c r="W89" s="392"/>
      <c r="X89" s="392"/>
      <c r="Y89" s="392"/>
      <c r="Z89" s="392"/>
      <c r="AA89" s="392"/>
      <c r="AB89" s="392"/>
      <c r="AC89" s="392"/>
      <c r="AD89" s="392"/>
      <c r="AE89" s="392"/>
      <c r="AF89" s="392"/>
      <c r="AG89" s="392"/>
      <c r="AH89" s="392"/>
      <c r="AI89" s="392"/>
      <c r="AJ89" s="392"/>
      <c r="AK89" s="392"/>
      <c r="AL89" s="392"/>
      <c r="AM89" s="392"/>
      <c r="AN89" s="392"/>
      <c r="AO89" s="392"/>
      <c r="AP89" s="392"/>
      <c r="AQ89" s="392"/>
      <c r="AR89" s="392"/>
      <c r="AS89" s="392"/>
      <c r="AT89" s="392"/>
      <c r="AU89" s="373"/>
      <c r="AV89" s="373"/>
      <c r="AW89" s="373"/>
      <c r="AX89" s="373"/>
      <c r="AY89" s="373"/>
      <c r="AZ89" s="373"/>
      <c r="BA89" s="373"/>
      <c r="BB89" s="373"/>
      <c r="BC89" s="373"/>
      <c r="BD89" s="373"/>
      <c r="BE89" s="373"/>
      <c r="BF89" s="373"/>
    </row>
    <row r="90" spans="1:58" s="390" customFormat="1" ht="12" customHeight="1" x14ac:dyDescent="0.15">
      <c r="A90" s="396"/>
      <c r="B90" s="396"/>
      <c r="C90" s="396" t="s">
        <v>2814</v>
      </c>
      <c r="D90" s="396"/>
      <c r="E90" s="396"/>
      <c r="F90" s="382"/>
      <c r="G90" s="424"/>
      <c r="H90" s="538"/>
      <c r="I90" s="538"/>
      <c r="J90" s="538"/>
      <c r="K90" s="538"/>
      <c r="L90" s="422"/>
      <c r="M90" s="541" t="str">
        <f t="shared" si="22"/>
        <v>--</v>
      </c>
      <c r="N90" s="438" t="str">
        <f t="shared" si="23"/>
        <v>--</v>
      </c>
      <c r="O90" s="438" t="str">
        <f t="shared" si="24"/>
        <v>--</v>
      </c>
      <c r="P90" s="356"/>
      <c r="Q90" s="422"/>
      <c r="R90" s="393"/>
      <c r="S90" s="393"/>
      <c r="T90" s="393"/>
      <c r="U90" s="392"/>
      <c r="V90" s="392"/>
      <c r="W90" s="392"/>
      <c r="X90" s="392"/>
      <c r="Y90" s="392"/>
      <c r="Z90" s="392"/>
      <c r="AA90" s="392"/>
      <c r="AB90" s="392"/>
      <c r="AC90" s="392"/>
      <c r="AD90" s="392"/>
      <c r="AE90" s="392"/>
      <c r="AF90" s="392"/>
      <c r="AG90" s="392"/>
      <c r="AH90" s="392"/>
      <c r="AI90" s="392"/>
      <c r="AJ90" s="392"/>
      <c r="AK90" s="392"/>
      <c r="AL90" s="392"/>
      <c r="AM90" s="392"/>
      <c r="AN90" s="392"/>
      <c r="AO90" s="392"/>
      <c r="AP90" s="392"/>
      <c r="AQ90" s="392"/>
      <c r="AR90" s="392"/>
      <c r="AS90" s="392"/>
      <c r="AT90" s="392"/>
      <c r="AU90" s="373"/>
      <c r="AV90" s="373"/>
      <c r="AW90" s="373"/>
      <c r="AX90" s="373"/>
      <c r="AY90" s="373"/>
      <c r="AZ90" s="373"/>
      <c r="BA90" s="373"/>
      <c r="BB90" s="373"/>
      <c r="BC90" s="373"/>
      <c r="BD90" s="373"/>
      <c r="BE90" s="373"/>
      <c r="BF90" s="373"/>
    </row>
    <row r="91" spans="1:58" s="390" customFormat="1" ht="12" customHeight="1" x14ac:dyDescent="0.15">
      <c r="A91" s="396"/>
      <c r="B91" s="396"/>
      <c r="C91" s="396" t="s">
        <v>2813</v>
      </c>
      <c r="D91" s="396"/>
      <c r="E91" s="396"/>
      <c r="F91" s="382"/>
      <c r="G91" s="424"/>
      <c r="H91" s="538"/>
      <c r="I91" s="538"/>
      <c r="J91" s="538"/>
      <c r="K91" s="538"/>
      <c r="L91" s="422"/>
      <c r="M91" s="541" t="str">
        <f t="shared" si="22"/>
        <v>--</v>
      </c>
      <c r="N91" s="438" t="str">
        <f t="shared" si="23"/>
        <v>--</v>
      </c>
      <c r="O91" s="438" t="str">
        <f t="shared" si="24"/>
        <v>--</v>
      </c>
      <c r="P91" s="356"/>
      <c r="Q91" s="422"/>
      <c r="R91" s="393"/>
      <c r="S91" s="393"/>
      <c r="T91" s="393"/>
      <c r="U91" s="392"/>
      <c r="V91" s="392"/>
      <c r="W91" s="392"/>
      <c r="X91" s="392"/>
      <c r="Y91" s="392"/>
      <c r="Z91" s="392"/>
      <c r="AA91" s="392"/>
      <c r="AB91" s="392"/>
      <c r="AC91" s="392"/>
      <c r="AD91" s="392"/>
      <c r="AE91" s="392"/>
      <c r="AF91" s="392"/>
      <c r="AG91" s="392"/>
      <c r="AH91" s="392"/>
      <c r="AI91" s="392"/>
      <c r="AJ91" s="392"/>
      <c r="AK91" s="392"/>
      <c r="AL91" s="392"/>
      <c r="AM91" s="392"/>
      <c r="AN91" s="392"/>
      <c r="AO91" s="392"/>
      <c r="AP91" s="392"/>
      <c r="AQ91" s="392"/>
      <c r="AR91" s="392"/>
      <c r="AS91" s="392"/>
      <c r="AT91" s="392"/>
      <c r="AU91" s="373"/>
      <c r="AV91" s="373"/>
      <c r="AW91" s="373"/>
      <c r="AX91" s="373"/>
      <c r="AY91" s="373"/>
      <c r="AZ91" s="373"/>
      <c r="BA91" s="373"/>
      <c r="BB91" s="373"/>
      <c r="BC91" s="373"/>
      <c r="BD91" s="373"/>
      <c r="BE91" s="373"/>
      <c r="BF91" s="373"/>
    </row>
    <row r="92" spans="1:58" s="390" customFormat="1" ht="12" customHeight="1" x14ac:dyDescent="0.15">
      <c r="A92" s="396"/>
      <c r="B92" s="396"/>
      <c r="C92" s="396" t="s">
        <v>2621</v>
      </c>
      <c r="D92" s="396"/>
      <c r="E92" s="396"/>
      <c r="F92" s="382"/>
      <c r="G92" s="424"/>
      <c r="H92" s="538"/>
      <c r="I92" s="538"/>
      <c r="J92" s="538"/>
      <c r="K92" s="538"/>
      <c r="L92" s="422"/>
      <c r="M92" s="541" t="str">
        <f t="shared" si="22"/>
        <v>--</v>
      </c>
      <c r="N92" s="438" t="str">
        <f t="shared" si="23"/>
        <v>--</v>
      </c>
      <c r="O92" s="438" t="str">
        <f t="shared" si="24"/>
        <v>--</v>
      </c>
      <c r="P92" s="356"/>
      <c r="Q92" s="422"/>
      <c r="R92" s="393"/>
      <c r="S92" s="393"/>
      <c r="T92" s="393"/>
      <c r="U92" s="392"/>
      <c r="V92" s="392"/>
      <c r="W92" s="392"/>
      <c r="X92" s="392"/>
      <c r="Y92" s="392"/>
      <c r="Z92" s="392"/>
      <c r="AA92" s="392"/>
      <c r="AB92" s="392"/>
      <c r="AC92" s="392"/>
      <c r="AD92" s="392"/>
      <c r="AE92" s="392"/>
      <c r="AF92" s="392"/>
      <c r="AG92" s="392"/>
      <c r="AH92" s="392"/>
      <c r="AI92" s="392"/>
      <c r="AJ92" s="392"/>
      <c r="AK92" s="392"/>
      <c r="AL92" s="392"/>
      <c r="AM92" s="392"/>
      <c r="AN92" s="392"/>
      <c r="AO92" s="392"/>
      <c r="AP92" s="392"/>
      <c r="AQ92" s="392"/>
      <c r="AR92" s="392"/>
      <c r="AS92" s="392"/>
      <c r="AT92" s="392"/>
      <c r="AU92" s="373"/>
      <c r="AV92" s="373"/>
      <c r="AW92" s="373"/>
      <c r="AX92" s="373"/>
      <c r="AY92" s="373"/>
      <c r="AZ92" s="373"/>
      <c r="BA92" s="373"/>
      <c r="BB92" s="373"/>
      <c r="BC92" s="373"/>
      <c r="BD92" s="373"/>
      <c r="BE92" s="373"/>
      <c r="BF92" s="373"/>
    </row>
    <row r="93" spans="1:58" s="390" customFormat="1" ht="12" customHeight="1" x14ac:dyDescent="0.15">
      <c r="A93" s="396"/>
      <c r="B93" s="396"/>
      <c r="C93" s="396" t="s">
        <v>2812</v>
      </c>
      <c r="D93" s="396"/>
      <c r="E93" s="396"/>
      <c r="F93" s="382"/>
      <c r="G93" s="424"/>
      <c r="H93" s="538"/>
      <c r="I93" s="538"/>
      <c r="J93" s="538"/>
      <c r="K93" s="538"/>
      <c r="L93" s="422"/>
      <c r="M93" s="541" t="str">
        <f t="shared" si="22"/>
        <v>--</v>
      </c>
      <c r="N93" s="438" t="str">
        <f t="shared" si="23"/>
        <v>--</v>
      </c>
      <c r="O93" s="438" t="str">
        <f t="shared" si="24"/>
        <v>--</v>
      </c>
      <c r="P93" s="356"/>
      <c r="Q93" s="422"/>
      <c r="R93" s="393"/>
      <c r="S93" s="393"/>
      <c r="T93" s="393"/>
      <c r="U93" s="392"/>
      <c r="V93" s="392"/>
      <c r="W93" s="392"/>
      <c r="X93" s="392"/>
      <c r="Y93" s="392"/>
      <c r="Z93" s="392"/>
      <c r="AA93" s="392"/>
      <c r="AB93" s="392"/>
      <c r="AC93" s="392"/>
      <c r="AD93" s="392"/>
      <c r="AE93" s="392"/>
      <c r="AF93" s="392"/>
      <c r="AG93" s="392"/>
      <c r="AH93" s="392"/>
      <c r="AI93" s="392"/>
      <c r="AJ93" s="392"/>
      <c r="AK93" s="392"/>
      <c r="AL93" s="392"/>
      <c r="AM93" s="392"/>
      <c r="AN93" s="392"/>
      <c r="AO93" s="392"/>
      <c r="AP93" s="392"/>
      <c r="AQ93" s="392"/>
      <c r="AR93" s="392"/>
      <c r="AS93" s="392"/>
      <c r="AT93" s="392"/>
      <c r="AU93" s="373"/>
      <c r="AV93" s="373"/>
      <c r="AW93" s="373"/>
      <c r="AX93" s="373"/>
      <c r="AY93" s="373"/>
      <c r="AZ93" s="373"/>
      <c r="BA93" s="373"/>
      <c r="BB93" s="373"/>
      <c r="BC93" s="373"/>
      <c r="BD93" s="373"/>
      <c r="BE93" s="373"/>
      <c r="BF93" s="373"/>
    </row>
    <row r="94" spans="1:58" s="390" customFormat="1" ht="12" customHeight="1" x14ac:dyDescent="0.15">
      <c r="A94" s="396"/>
      <c r="B94" s="396"/>
      <c r="C94" s="396" t="s">
        <v>2811</v>
      </c>
      <c r="D94" s="396"/>
      <c r="E94" s="396"/>
      <c r="F94" s="382"/>
      <c r="G94" s="424"/>
      <c r="H94" s="538"/>
      <c r="I94" s="538"/>
      <c r="J94" s="538"/>
      <c r="K94" s="538"/>
      <c r="L94" s="422"/>
      <c r="M94" s="541" t="str">
        <f t="shared" si="22"/>
        <v>--</v>
      </c>
      <c r="N94" s="438" t="str">
        <f t="shared" si="23"/>
        <v>--</v>
      </c>
      <c r="O94" s="438" t="str">
        <f t="shared" si="24"/>
        <v>--</v>
      </c>
      <c r="P94" s="356"/>
      <c r="Q94" s="422"/>
      <c r="R94" s="393"/>
      <c r="S94" s="393"/>
      <c r="T94" s="393"/>
      <c r="U94" s="392"/>
      <c r="V94" s="392"/>
      <c r="W94" s="392"/>
      <c r="X94" s="392"/>
      <c r="Y94" s="392"/>
      <c r="Z94" s="392"/>
      <c r="AA94" s="392"/>
      <c r="AB94" s="392"/>
      <c r="AC94" s="392"/>
      <c r="AD94" s="392"/>
      <c r="AE94" s="392"/>
      <c r="AF94" s="392"/>
      <c r="AG94" s="392"/>
      <c r="AH94" s="392"/>
      <c r="AI94" s="392"/>
      <c r="AJ94" s="392"/>
      <c r="AK94" s="392"/>
      <c r="AL94" s="392"/>
      <c r="AM94" s="392"/>
      <c r="AN94" s="392"/>
      <c r="AO94" s="392"/>
      <c r="AP94" s="392"/>
      <c r="AQ94" s="392"/>
      <c r="AR94" s="392"/>
      <c r="AS94" s="392"/>
      <c r="AT94" s="392"/>
      <c r="AU94" s="373"/>
      <c r="AV94" s="373"/>
      <c r="AW94" s="373"/>
      <c r="AX94" s="373"/>
      <c r="AY94" s="373"/>
      <c r="AZ94" s="373"/>
      <c r="BA94" s="373"/>
      <c r="BB94" s="373"/>
      <c r="BC94" s="373"/>
      <c r="BD94" s="373"/>
      <c r="BE94" s="373"/>
      <c r="BF94" s="373"/>
    </row>
    <row r="95" spans="1:58" s="390" customFormat="1" ht="12" customHeight="1" x14ac:dyDescent="0.15">
      <c r="A95" s="396"/>
      <c r="B95" s="396"/>
      <c r="C95" s="396" t="s">
        <v>2810</v>
      </c>
      <c r="D95" s="396"/>
      <c r="E95" s="396"/>
      <c r="F95" s="382"/>
      <c r="G95" s="424"/>
      <c r="H95" s="538"/>
      <c r="I95" s="538"/>
      <c r="J95" s="538"/>
      <c r="K95" s="538"/>
      <c r="L95" s="422"/>
      <c r="M95" s="541" t="str">
        <f t="shared" si="22"/>
        <v>--</v>
      </c>
      <c r="N95" s="438" t="str">
        <f t="shared" si="23"/>
        <v>--</v>
      </c>
      <c r="O95" s="438" t="str">
        <f t="shared" si="24"/>
        <v>--</v>
      </c>
      <c r="P95" s="356"/>
      <c r="Q95" s="422"/>
      <c r="R95" s="393"/>
      <c r="S95" s="393"/>
      <c r="T95" s="393"/>
      <c r="U95" s="392"/>
      <c r="V95" s="392"/>
      <c r="W95" s="392"/>
      <c r="X95" s="392"/>
      <c r="Y95" s="392"/>
      <c r="Z95" s="392"/>
      <c r="AA95" s="392"/>
      <c r="AB95" s="392"/>
      <c r="AC95" s="392"/>
      <c r="AD95" s="392"/>
      <c r="AE95" s="392"/>
      <c r="AF95" s="392"/>
      <c r="AG95" s="392"/>
      <c r="AH95" s="392"/>
      <c r="AI95" s="392"/>
      <c r="AJ95" s="392"/>
      <c r="AK95" s="392"/>
      <c r="AL95" s="392"/>
      <c r="AM95" s="392"/>
      <c r="AN95" s="392"/>
      <c r="AO95" s="392"/>
      <c r="AP95" s="392"/>
      <c r="AQ95" s="392"/>
      <c r="AR95" s="392"/>
      <c r="AS95" s="392"/>
      <c r="AT95" s="392"/>
      <c r="AU95" s="373"/>
      <c r="AV95" s="373"/>
      <c r="AW95" s="373"/>
      <c r="AX95" s="373"/>
      <c r="AY95" s="373"/>
      <c r="AZ95" s="373"/>
      <c r="BA95" s="373"/>
      <c r="BB95" s="373"/>
      <c r="BC95" s="373"/>
      <c r="BD95" s="373"/>
      <c r="BE95" s="373"/>
      <c r="BF95" s="373"/>
    </row>
    <row r="96" spans="1:58" s="390" customFormat="1" ht="12" customHeight="1" x14ac:dyDescent="0.15">
      <c r="A96" s="396"/>
      <c r="B96" s="396"/>
      <c r="C96" s="396" t="s">
        <v>2808</v>
      </c>
      <c r="D96" s="396"/>
      <c r="E96" s="396"/>
      <c r="F96" s="382"/>
      <c r="G96" s="424"/>
      <c r="H96" s="538"/>
      <c r="I96" s="538"/>
      <c r="J96" s="538"/>
      <c r="K96" s="538"/>
      <c r="L96" s="422"/>
      <c r="M96" s="541" t="str">
        <f t="shared" si="22"/>
        <v>--</v>
      </c>
      <c r="N96" s="438" t="str">
        <f t="shared" si="23"/>
        <v>--</v>
      </c>
      <c r="O96" s="438" t="str">
        <f t="shared" si="24"/>
        <v>--</v>
      </c>
      <c r="P96" s="356"/>
      <c r="Q96" s="422"/>
      <c r="R96" s="393"/>
      <c r="S96" s="393"/>
      <c r="T96" s="393"/>
      <c r="U96" s="392"/>
      <c r="V96" s="392"/>
      <c r="W96" s="392"/>
      <c r="X96" s="392"/>
      <c r="Y96" s="392"/>
      <c r="Z96" s="392"/>
      <c r="AA96" s="392"/>
      <c r="AB96" s="392"/>
      <c r="AC96" s="392"/>
      <c r="AD96" s="392"/>
      <c r="AE96" s="392"/>
      <c r="AF96" s="392"/>
      <c r="AG96" s="392"/>
      <c r="AH96" s="392"/>
      <c r="AI96" s="392"/>
      <c r="AJ96" s="392"/>
      <c r="AK96" s="392"/>
      <c r="AL96" s="392"/>
      <c r="AM96" s="392"/>
      <c r="AN96" s="392"/>
      <c r="AO96" s="392"/>
      <c r="AP96" s="392"/>
      <c r="AQ96" s="392"/>
      <c r="AR96" s="392"/>
      <c r="AS96" s="392"/>
      <c r="AT96" s="392"/>
      <c r="AU96" s="373"/>
      <c r="AV96" s="373"/>
      <c r="AW96" s="373"/>
      <c r="AX96" s="373"/>
      <c r="AY96" s="373"/>
      <c r="AZ96" s="373"/>
      <c r="BA96" s="373"/>
      <c r="BB96" s="373"/>
      <c r="BC96" s="373"/>
      <c r="BD96" s="373"/>
      <c r="BE96" s="373"/>
      <c r="BF96" s="373"/>
    </row>
    <row r="97" spans="1:58" s="390" customFormat="1" ht="12" customHeight="1" x14ac:dyDescent="0.15">
      <c r="A97" s="396"/>
      <c r="B97" s="396"/>
      <c r="C97" s="396" t="s">
        <v>2807</v>
      </c>
      <c r="D97" s="396"/>
      <c r="E97" s="396"/>
      <c r="F97" s="382"/>
      <c r="G97" s="424"/>
      <c r="H97" s="538"/>
      <c r="I97" s="538"/>
      <c r="J97" s="538"/>
      <c r="K97" s="538"/>
      <c r="L97" s="422"/>
      <c r="M97" s="541" t="str">
        <f t="shared" si="22"/>
        <v>--</v>
      </c>
      <c r="N97" s="438" t="str">
        <f t="shared" si="23"/>
        <v>--</v>
      </c>
      <c r="O97" s="438" t="str">
        <f t="shared" si="24"/>
        <v>--</v>
      </c>
      <c r="P97" s="356"/>
      <c r="Q97" s="422"/>
      <c r="R97" s="393"/>
      <c r="S97" s="393"/>
      <c r="T97" s="393"/>
      <c r="U97" s="392"/>
      <c r="V97" s="392"/>
      <c r="W97" s="392"/>
      <c r="X97" s="392"/>
      <c r="Y97" s="392"/>
      <c r="Z97" s="392"/>
      <c r="AA97" s="392"/>
      <c r="AB97" s="392"/>
      <c r="AC97" s="392"/>
      <c r="AD97" s="392"/>
      <c r="AE97" s="392"/>
      <c r="AF97" s="392"/>
      <c r="AG97" s="392"/>
      <c r="AH97" s="392"/>
      <c r="AI97" s="392"/>
      <c r="AJ97" s="392"/>
      <c r="AK97" s="392"/>
      <c r="AL97" s="392"/>
      <c r="AM97" s="392"/>
      <c r="AN97" s="392"/>
      <c r="AO97" s="392"/>
      <c r="AP97" s="392"/>
      <c r="AQ97" s="392"/>
      <c r="AR97" s="392"/>
      <c r="AS97" s="392"/>
      <c r="AT97" s="392"/>
      <c r="AU97" s="373"/>
      <c r="AV97" s="373"/>
      <c r="AW97" s="373"/>
      <c r="AX97" s="373"/>
      <c r="AY97" s="373"/>
      <c r="AZ97" s="373"/>
      <c r="BA97" s="373"/>
      <c r="BB97" s="373"/>
      <c r="BC97" s="373"/>
      <c r="BD97" s="373"/>
      <c r="BE97" s="373"/>
      <c r="BF97" s="373"/>
    </row>
    <row r="98" spans="1:58" s="390" customFormat="1" ht="12" customHeight="1" x14ac:dyDescent="0.15">
      <c r="A98" s="396"/>
      <c r="B98" s="396"/>
      <c r="C98" s="396" t="s">
        <v>2806</v>
      </c>
      <c r="D98" s="396"/>
      <c r="E98" s="396"/>
      <c r="F98" s="382"/>
      <c r="G98" s="424"/>
      <c r="H98" s="538"/>
      <c r="I98" s="538"/>
      <c r="J98" s="538"/>
      <c r="K98" s="538"/>
      <c r="L98" s="422"/>
      <c r="M98" s="541" t="str">
        <f t="shared" si="22"/>
        <v>--</v>
      </c>
      <c r="N98" s="438" t="str">
        <f t="shared" si="23"/>
        <v>--</v>
      </c>
      <c r="O98" s="438" t="str">
        <f t="shared" si="24"/>
        <v>--</v>
      </c>
      <c r="P98" s="356"/>
      <c r="Q98" s="422"/>
      <c r="R98" s="393"/>
      <c r="S98" s="393"/>
      <c r="T98" s="393"/>
      <c r="U98" s="392"/>
      <c r="V98" s="392"/>
      <c r="W98" s="392"/>
      <c r="X98" s="392"/>
      <c r="Y98" s="392"/>
      <c r="Z98" s="392"/>
      <c r="AA98" s="392"/>
      <c r="AB98" s="392"/>
      <c r="AC98" s="392"/>
      <c r="AD98" s="392"/>
      <c r="AE98" s="392"/>
      <c r="AF98" s="392"/>
      <c r="AG98" s="392"/>
      <c r="AH98" s="392"/>
      <c r="AI98" s="392"/>
      <c r="AJ98" s="392"/>
      <c r="AK98" s="392"/>
      <c r="AL98" s="392"/>
      <c r="AM98" s="392"/>
      <c r="AN98" s="392"/>
      <c r="AO98" s="392"/>
      <c r="AP98" s="392"/>
      <c r="AQ98" s="392"/>
      <c r="AR98" s="392"/>
      <c r="AS98" s="392"/>
      <c r="AT98" s="392"/>
      <c r="AU98" s="373"/>
      <c r="AV98" s="373"/>
      <c r="AW98" s="373"/>
      <c r="AX98" s="373"/>
      <c r="AY98" s="373"/>
      <c r="AZ98" s="373"/>
      <c r="BA98" s="373"/>
      <c r="BB98" s="373"/>
      <c r="BC98" s="373"/>
      <c r="BD98" s="373"/>
      <c r="BE98" s="373"/>
      <c r="BF98" s="373"/>
    </row>
    <row r="99" spans="1:58" s="390" customFormat="1" ht="12" customHeight="1" x14ac:dyDescent="0.15">
      <c r="A99" s="396"/>
      <c r="B99" s="396"/>
      <c r="C99" s="396" t="s">
        <v>2805</v>
      </c>
      <c r="D99" s="396"/>
      <c r="E99" s="396"/>
      <c r="F99" s="382"/>
      <c r="G99" s="424"/>
      <c r="H99" s="538"/>
      <c r="I99" s="538"/>
      <c r="J99" s="538"/>
      <c r="K99" s="538"/>
      <c r="L99" s="422"/>
      <c r="M99" s="541" t="str">
        <f t="shared" si="22"/>
        <v>--</v>
      </c>
      <c r="N99" s="438" t="str">
        <f t="shared" si="23"/>
        <v>--</v>
      </c>
      <c r="O99" s="438" t="str">
        <f t="shared" si="24"/>
        <v>--</v>
      </c>
      <c r="P99" s="356"/>
      <c r="Q99" s="422"/>
      <c r="R99" s="393"/>
      <c r="S99" s="393"/>
      <c r="T99" s="393"/>
      <c r="U99" s="392"/>
      <c r="V99" s="392"/>
      <c r="W99" s="392"/>
      <c r="X99" s="392"/>
      <c r="Y99" s="392"/>
      <c r="Z99" s="392"/>
      <c r="AA99" s="392"/>
      <c r="AB99" s="392"/>
      <c r="AC99" s="392"/>
      <c r="AD99" s="392"/>
      <c r="AE99" s="392"/>
      <c r="AF99" s="392"/>
      <c r="AG99" s="392"/>
      <c r="AH99" s="392"/>
      <c r="AI99" s="392"/>
      <c r="AJ99" s="392"/>
      <c r="AK99" s="392"/>
      <c r="AL99" s="392"/>
      <c r="AM99" s="392"/>
      <c r="AN99" s="392"/>
      <c r="AO99" s="392"/>
      <c r="AP99" s="392"/>
      <c r="AQ99" s="392"/>
      <c r="AR99" s="392"/>
      <c r="AS99" s="392"/>
      <c r="AT99" s="392"/>
      <c r="AU99" s="373"/>
      <c r="AV99" s="373"/>
      <c r="AW99" s="373"/>
      <c r="AX99" s="373"/>
      <c r="AY99" s="373"/>
      <c r="AZ99" s="373"/>
      <c r="BA99" s="373"/>
      <c r="BB99" s="373"/>
      <c r="BC99" s="373"/>
      <c r="BD99" s="373"/>
      <c r="BE99" s="373"/>
      <c r="BF99" s="373"/>
    </row>
    <row r="100" spans="1:58" s="390" customFormat="1" ht="12" customHeight="1" x14ac:dyDescent="0.15">
      <c r="A100" s="396"/>
      <c r="B100" s="396"/>
      <c r="C100" s="396" t="s">
        <v>2804</v>
      </c>
      <c r="D100" s="396"/>
      <c r="E100" s="396"/>
      <c r="F100" s="382"/>
      <c r="G100" s="424"/>
      <c r="H100" s="538"/>
      <c r="I100" s="538"/>
      <c r="J100" s="538"/>
      <c r="K100" s="538"/>
      <c r="L100" s="422"/>
      <c r="M100" s="541" t="str">
        <f t="shared" si="22"/>
        <v>--</v>
      </c>
      <c r="N100" s="438" t="str">
        <f t="shared" si="23"/>
        <v>--</v>
      </c>
      <c r="O100" s="438" t="str">
        <f t="shared" si="24"/>
        <v>--</v>
      </c>
      <c r="P100" s="356"/>
      <c r="Q100" s="422"/>
      <c r="R100" s="393"/>
      <c r="S100" s="393"/>
      <c r="T100" s="393"/>
      <c r="U100" s="392"/>
      <c r="V100" s="392"/>
      <c r="W100" s="392"/>
      <c r="X100" s="392"/>
      <c r="Y100" s="392"/>
      <c r="Z100" s="392"/>
      <c r="AA100" s="392"/>
      <c r="AB100" s="392"/>
      <c r="AC100" s="392"/>
      <c r="AD100" s="392"/>
      <c r="AE100" s="392"/>
      <c r="AF100" s="392"/>
      <c r="AG100" s="392"/>
      <c r="AH100" s="392"/>
      <c r="AI100" s="392"/>
      <c r="AJ100" s="392"/>
      <c r="AK100" s="392"/>
      <c r="AL100" s="392"/>
      <c r="AM100" s="392"/>
      <c r="AN100" s="392"/>
      <c r="AO100" s="392"/>
      <c r="AP100" s="392"/>
      <c r="AQ100" s="392"/>
      <c r="AR100" s="392"/>
      <c r="AS100" s="392"/>
      <c r="AT100" s="392"/>
      <c r="AU100" s="373"/>
      <c r="AV100" s="373"/>
      <c r="AW100" s="373"/>
      <c r="AX100" s="373"/>
      <c r="AY100" s="373"/>
      <c r="AZ100" s="373"/>
      <c r="BA100" s="373"/>
      <c r="BB100" s="373"/>
      <c r="BC100" s="373"/>
      <c r="BD100" s="373"/>
      <c r="BE100" s="373"/>
      <c r="BF100" s="373"/>
    </row>
    <row r="101" spans="1:58" s="390" customFormat="1" ht="12" customHeight="1" x14ac:dyDescent="0.15">
      <c r="A101" s="396"/>
      <c r="B101" s="396"/>
      <c r="C101" s="396"/>
      <c r="D101" s="396"/>
      <c r="E101" s="396"/>
      <c r="F101" s="382"/>
      <c r="G101" s="424"/>
      <c r="H101" s="538"/>
      <c r="I101" s="538"/>
      <c r="J101" s="538"/>
      <c r="K101" s="538"/>
      <c r="L101" s="422"/>
      <c r="M101" s="542"/>
      <c r="N101" s="542"/>
      <c r="O101" s="542"/>
      <c r="P101" s="356"/>
      <c r="Q101" s="422"/>
      <c r="R101" s="393"/>
      <c r="S101" s="393"/>
      <c r="T101" s="393"/>
      <c r="U101" s="392"/>
      <c r="V101" s="392"/>
      <c r="W101" s="392"/>
      <c r="X101" s="392"/>
      <c r="Y101" s="392"/>
      <c r="Z101" s="392"/>
      <c r="AA101" s="392"/>
      <c r="AB101" s="392"/>
      <c r="AC101" s="392"/>
      <c r="AD101" s="392"/>
      <c r="AE101" s="392"/>
      <c r="AF101" s="392"/>
      <c r="AG101" s="392"/>
      <c r="AH101" s="392"/>
      <c r="AI101" s="392"/>
      <c r="AJ101" s="392"/>
      <c r="AK101" s="392"/>
      <c r="AL101" s="392"/>
      <c r="AM101" s="392"/>
      <c r="AN101" s="392"/>
      <c r="AO101" s="392"/>
      <c r="AP101" s="392"/>
      <c r="AQ101" s="392"/>
      <c r="AR101" s="392"/>
      <c r="AS101" s="392"/>
      <c r="AT101" s="392"/>
      <c r="AU101" s="373"/>
      <c r="AV101" s="373"/>
      <c r="AW101" s="373"/>
      <c r="AX101" s="373"/>
      <c r="AY101" s="373"/>
      <c r="AZ101" s="373"/>
      <c r="BA101" s="373"/>
      <c r="BB101" s="373"/>
      <c r="BC101" s="373"/>
      <c r="BD101" s="373"/>
      <c r="BE101" s="373"/>
      <c r="BF101" s="373"/>
    </row>
    <row r="102" spans="1:58" s="390" customFormat="1" ht="12" customHeight="1" x14ac:dyDescent="0.15">
      <c r="A102" s="396"/>
      <c r="B102" s="396"/>
      <c r="C102" s="396"/>
      <c r="D102" s="396"/>
      <c r="E102" s="396"/>
      <c r="F102" s="382"/>
      <c r="G102" s="424"/>
      <c r="H102" s="538"/>
      <c r="I102" s="538"/>
      <c r="J102" s="538"/>
      <c r="K102" s="538"/>
      <c r="L102" s="422"/>
      <c r="M102" s="542"/>
      <c r="N102" s="542"/>
      <c r="O102" s="542"/>
      <c r="P102" s="356"/>
      <c r="Q102" s="422"/>
      <c r="R102" s="393"/>
      <c r="S102" s="393"/>
      <c r="T102" s="393"/>
      <c r="U102" s="392"/>
      <c r="V102" s="392"/>
      <c r="W102" s="392"/>
      <c r="X102" s="392"/>
      <c r="Y102" s="392"/>
      <c r="Z102" s="392"/>
      <c r="AA102" s="392"/>
      <c r="AB102" s="392"/>
      <c r="AC102" s="392"/>
      <c r="AD102" s="392"/>
      <c r="AE102" s="392"/>
      <c r="AF102" s="392"/>
      <c r="AG102" s="392"/>
      <c r="AH102" s="392"/>
      <c r="AI102" s="392"/>
      <c r="AJ102" s="392"/>
      <c r="AK102" s="392"/>
      <c r="AL102" s="392"/>
      <c r="AM102" s="392"/>
      <c r="AN102" s="392"/>
      <c r="AO102" s="392"/>
      <c r="AP102" s="392"/>
      <c r="AQ102" s="392"/>
      <c r="AR102" s="392"/>
      <c r="AS102" s="392"/>
      <c r="AT102" s="392"/>
      <c r="AU102" s="373"/>
      <c r="AV102" s="373"/>
      <c r="AW102" s="373"/>
      <c r="AX102" s="373"/>
      <c r="AY102" s="373"/>
      <c r="AZ102" s="373"/>
      <c r="BA102" s="373"/>
      <c r="BB102" s="373"/>
      <c r="BC102" s="373"/>
      <c r="BD102" s="373"/>
      <c r="BE102" s="373"/>
      <c r="BF102" s="373"/>
    </row>
    <row r="103" spans="1:58" s="374" customFormat="1" ht="12" customHeight="1" x14ac:dyDescent="0.15">
      <c r="A103" s="379"/>
      <c r="B103" s="379"/>
      <c r="C103" s="379"/>
      <c r="D103" s="379"/>
      <c r="E103" s="379"/>
      <c r="F103" s="382"/>
      <c r="G103" s="377"/>
      <c r="H103" s="539"/>
      <c r="I103" s="539"/>
      <c r="J103" s="539"/>
      <c r="K103" s="539"/>
      <c r="L103" s="383"/>
      <c r="M103" s="543"/>
      <c r="N103" s="543"/>
      <c r="O103" s="543"/>
      <c r="P103" s="356"/>
      <c r="Q103" s="383"/>
      <c r="U103" s="373"/>
      <c r="V103" s="373"/>
      <c r="W103" s="373"/>
      <c r="X103" s="373"/>
      <c r="Y103" s="373"/>
      <c r="Z103" s="373"/>
      <c r="AA103" s="373"/>
      <c r="AB103" s="373"/>
      <c r="AC103" s="373"/>
      <c r="AD103" s="373"/>
      <c r="AE103" s="373"/>
      <c r="AF103" s="373"/>
      <c r="AG103" s="373"/>
      <c r="AH103" s="373"/>
      <c r="AI103" s="373"/>
      <c r="AJ103" s="373"/>
      <c r="AK103" s="373"/>
      <c r="AL103" s="373"/>
      <c r="AM103" s="373"/>
      <c r="AN103" s="373"/>
      <c r="AO103" s="373"/>
      <c r="AP103" s="373"/>
      <c r="AQ103" s="373"/>
      <c r="AR103" s="373"/>
      <c r="AS103" s="373"/>
      <c r="AT103" s="373"/>
      <c r="AU103" s="373"/>
      <c r="AV103" s="373"/>
      <c r="AW103" s="373"/>
      <c r="AX103" s="373"/>
      <c r="AY103" s="373"/>
      <c r="AZ103" s="373"/>
      <c r="BA103" s="373"/>
      <c r="BB103" s="373"/>
      <c r="BC103" s="373"/>
      <c r="BD103" s="373"/>
      <c r="BE103" s="373"/>
      <c r="BF103" s="373"/>
    </row>
    <row r="104" spans="1:58" s="374" customFormat="1" ht="12" customHeight="1" x14ac:dyDescent="0.15">
      <c r="A104" s="379"/>
      <c r="B104" s="379"/>
      <c r="C104" s="379"/>
      <c r="D104" s="379"/>
      <c r="E104" s="379"/>
      <c r="F104" s="382"/>
      <c r="G104" s="377"/>
      <c r="H104" s="539"/>
      <c r="I104" s="539"/>
      <c r="J104" s="539"/>
      <c r="K104" s="539"/>
      <c r="L104" s="381"/>
      <c r="M104" s="543"/>
      <c r="N104" s="543"/>
      <c r="O104" s="543"/>
      <c r="P104" s="356"/>
      <c r="Q104" s="381"/>
      <c r="U104" s="373"/>
      <c r="V104" s="373"/>
      <c r="W104" s="373"/>
      <c r="X104" s="373"/>
      <c r="Y104" s="373"/>
      <c r="Z104" s="373"/>
      <c r="AA104" s="373"/>
      <c r="AB104" s="373"/>
      <c r="AC104" s="373"/>
      <c r="AD104" s="373"/>
      <c r="AE104" s="373"/>
      <c r="AF104" s="373"/>
      <c r="AG104" s="373"/>
      <c r="AH104" s="373"/>
      <c r="AI104" s="373"/>
      <c r="AJ104" s="373"/>
      <c r="AK104" s="373"/>
      <c r="AL104" s="373"/>
      <c r="AM104" s="373"/>
      <c r="AN104" s="373"/>
      <c r="AO104" s="373"/>
      <c r="AP104" s="373"/>
      <c r="AQ104" s="373"/>
      <c r="AR104" s="373"/>
      <c r="AS104" s="373"/>
      <c r="AT104" s="373"/>
      <c r="AU104" s="373"/>
      <c r="AV104" s="373"/>
      <c r="AW104" s="373"/>
      <c r="AX104" s="373"/>
      <c r="AY104" s="373"/>
      <c r="AZ104" s="373"/>
      <c r="BA104" s="373"/>
      <c r="BB104" s="373"/>
      <c r="BC104" s="373"/>
      <c r="BD104" s="373"/>
      <c r="BE104" s="373"/>
      <c r="BF104" s="373"/>
    </row>
    <row r="105" spans="1:58" s="374" customFormat="1" ht="12" customHeight="1" x14ac:dyDescent="0.15">
      <c r="A105" s="379"/>
      <c r="B105" s="379"/>
      <c r="C105" s="379"/>
      <c r="D105" s="379"/>
      <c r="E105" s="379"/>
      <c r="F105" s="382"/>
      <c r="G105" s="377"/>
      <c r="H105" s="539"/>
      <c r="I105" s="539"/>
      <c r="J105" s="539"/>
      <c r="K105" s="539"/>
      <c r="L105" s="389"/>
      <c r="M105" s="543"/>
      <c r="N105" s="543"/>
      <c r="O105" s="543"/>
      <c r="P105" s="356"/>
      <c r="Q105" s="389"/>
      <c r="U105" s="373"/>
      <c r="V105" s="373"/>
      <c r="W105" s="373"/>
      <c r="X105" s="373"/>
      <c r="Y105" s="373"/>
      <c r="Z105" s="373"/>
      <c r="AA105" s="373"/>
      <c r="AB105" s="373"/>
      <c r="AC105" s="373"/>
      <c r="AD105" s="373"/>
      <c r="AE105" s="373"/>
      <c r="AF105" s="373"/>
      <c r="AG105" s="373"/>
      <c r="AH105" s="373"/>
      <c r="AI105" s="373"/>
      <c r="AJ105" s="373"/>
      <c r="AK105" s="373"/>
      <c r="AL105" s="373"/>
      <c r="AM105" s="373"/>
      <c r="AN105" s="373"/>
      <c r="AO105" s="373"/>
      <c r="AP105" s="373"/>
      <c r="AQ105" s="373"/>
      <c r="AR105" s="373"/>
      <c r="AS105" s="373"/>
      <c r="AT105" s="373"/>
      <c r="AU105" s="373"/>
      <c r="AV105" s="373"/>
      <c r="AW105" s="373"/>
      <c r="AX105" s="373"/>
      <c r="AY105" s="373"/>
      <c r="AZ105" s="373"/>
      <c r="BA105" s="373"/>
      <c r="BB105" s="373"/>
      <c r="BC105" s="373"/>
      <c r="BD105" s="373"/>
      <c r="BE105" s="373"/>
      <c r="BF105" s="373"/>
    </row>
    <row r="106" spans="1:58" s="374" customFormat="1" ht="12" customHeight="1" x14ac:dyDescent="0.15">
      <c r="A106" s="379"/>
      <c r="B106" s="379"/>
      <c r="C106" s="379"/>
      <c r="D106" s="379"/>
      <c r="E106" s="379"/>
      <c r="F106" s="382"/>
      <c r="G106" s="377"/>
      <c r="H106" s="539"/>
      <c r="I106" s="539"/>
      <c r="J106" s="539"/>
      <c r="K106" s="539"/>
      <c r="L106" s="389"/>
      <c r="M106" s="543"/>
      <c r="N106" s="543"/>
      <c r="O106" s="543"/>
      <c r="P106" s="356"/>
      <c r="Q106" s="389"/>
      <c r="U106" s="373"/>
      <c r="V106" s="373"/>
      <c r="W106" s="373"/>
      <c r="X106" s="373"/>
      <c r="Y106" s="373"/>
      <c r="Z106" s="373"/>
      <c r="AA106" s="373"/>
      <c r="AB106" s="373"/>
      <c r="AC106" s="373"/>
      <c r="AD106" s="373"/>
      <c r="AE106" s="373"/>
      <c r="AF106" s="373"/>
      <c r="AG106" s="373"/>
      <c r="AH106" s="373"/>
      <c r="AI106" s="373"/>
      <c r="AJ106" s="373"/>
      <c r="AK106" s="373"/>
      <c r="AL106" s="373"/>
      <c r="AM106" s="373"/>
      <c r="AN106" s="373"/>
      <c r="AO106" s="373"/>
      <c r="AP106" s="373"/>
      <c r="AQ106" s="373"/>
      <c r="AR106" s="373"/>
      <c r="AS106" s="373"/>
      <c r="AT106" s="373"/>
      <c r="AU106" s="373"/>
      <c r="AV106" s="373"/>
      <c r="AW106" s="373"/>
      <c r="AX106" s="373"/>
      <c r="AY106" s="373"/>
      <c r="AZ106" s="373"/>
      <c r="BA106" s="373"/>
      <c r="BB106" s="373"/>
      <c r="BC106" s="373"/>
      <c r="BD106" s="373"/>
      <c r="BE106" s="373"/>
      <c r="BF106" s="373"/>
    </row>
    <row r="107" spans="1:58" s="374" customFormat="1" ht="12" customHeight="1" x14ac:dyDescent="0.15">
      <c r="A107" s="379"/>
      <c r="B107" s="379"/>
      <c r="C107" s="379"/>
      <c r="D107" s="379"/>
      <c r="E107" s="379"/>
      <c r="F107" s="382"/>
      <c r="G107" s="377"/>
      <c r="H107" s="539"/>
      <c r="I107" s="539"/>
      <c r="J107" s="539"/>
      <c r="K107" s="539"/>
      <c r="L107" s="389"/>
      <c r="M107" s="543"/>
      <c r="N107" s="543"/>
      <c r="O107" s="543"/>
      <c r="P107" s="356"/>
      <c r="Q107" s="389"/>
      <c r="U107" s="373"/>
      <c r="V107" s="373"/>
      <c r="W107" s="373"/>
      <c r="X107" s="373"/>
      <c r="Y107" s="373"/>
      <c r="Z107" s="373"/>
      <c r="AA107" s="373"/>
      <c r="AB107" s="373"/>
      <c r="AC107" s="373"/>
      <c r="AD107" s="373"/>
      <c r="AE107" s="373"/>
      <c r="AF107" s="373"/>
      <c r="AG107" s="373"/>
      <c r="AH107" s="373"/>
      <c r="AI107" s="373"/>
      <c r="AJ107" s="373"/>
      <c r="AK107" s="373"/>
      <c r="AL107" s="373"/>
      <c r="AM107" s="373"/>
      <c r="AN107" s="373"/>
      <c r="AO107" s="373"/>
      <c r="AP107" s="373"/>
      <c r="AQ107" s="373"/>
      <c r="AR107" s="373"/>
      <c r="AS107" s="373"/>
      <c r="AT107" s="373"/>
      <c r="AU107" s="373"/>
      <c r="AV107" s="373"/>
      <c r="AW107" s="373"/>
      <c r="AX107" s="373"/>
      <c r="AY107" s="373"/>
      <c r="AZ107" s="373"/>
      <c r="BA107" s="373"/>
      <c r="BB107" s="373"/>
      <c r="BC107" s="373"/>
      <c r="BD107" s="373"/>
      <c r="BE107" s="373"/>
      <c r="BF107" s="373"/>
    </row>
    <row r="108" spans="1:58" s="374" customFormat="1" ht="12" customHeight="1" x14ac:dyDescent="0.15">
      <c r="A108" s="379"/>
      <c r="B108" s="379"/>
      <c r="C108" s="379"/>
      <c r="D108" s="379"/>
      <c r="E108" s="379"/>
      <c r="F108" s="382"/>
      <c r="G108" s="377"/>
      <c r="H108" s="539"/>
      <c r="I108" s="539"/>
      <c r="J108" s="539"/>
      <c r="K108" s="539"/>
      <c r="L108" s="380"/>
      <c r="M108" s="543"/>
      <c r="N108" s="543"/>
      <c r="O108" s="543"/>
      <c r="P108" s="356"/>
      <c r="Q108" s="380"/>
      <c r="U108" s="373"/>
      <c r="V108" s="373"/>
      <c r="W108" s="373"/>
      <c r="X108" s="373"/>
      <c r="Y108" s="373"/>
      <c r="Z108" s="373"/>
      <c r="AA108" s="373"/>
      <c r="AB108" s="373"/>
      <c r="AC108" s="373"/>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3"/>
      <c r="AY108" s="373"/>
      <c r="AZ108" s="373"/>
      <c r="BA108" s="373"/>
      <c r="BB108" s="373"/>
      <c r="BC108" s="373"/>
      <c r="BD108" s="373"/>
      <c r="BE108" s="373"/>
      <c r="BF108" s="373"/>
    </row>
    <row r="109" spans="1:58" s="374" customFormat="1" ht="12" customHeight="1" x14ac:dyDescent="0.15">
      <c r="A109" s="379"/>
      <c r="B109" s="379"/>
      <c r="C109" s="379"/>
      <c r="D109" s="379"/>
      <c r="E109" s="379"/>
      <c r="F109" s="382"/>
      <c r="G109" s="377"/>
      <c r="H109" s="539"/>
      <c r="I109" s="539"/>
      <c r="J109" s="539"/>
      <c r="K109" s="539"/>
      <c r="L109" s="385"/>
      <c r="M109" s="543"/>
      <c r="N109" s="543"/>
      <c r="O109" s="543"/>
      <c r="P109" s="356"/>
      <c r="Q109" s="385"/>
      <c r="U109" s="373"/>
      <c r="V109" s="373"/>
      <c r="W109" s="373"/>
      <c r="X109" s="373"/>
      <c r="Y109" s="373"/>
      <c r="Z109" s="373"/>
      <c r="AA109" s="373"/>
      <c r="AB109" s="373"/>
      <c r="AC109" s="373"/>
      <c r="AD109" s="373"/>
      <c r="AE109" s="373"/>
      <c r="AF109" s="373"/>
      <c r="AG109" s="373"/>
      <c r="AH109" s="373"/>
      <c r="AI109" s="373"/>
      <c r="AJ109" s="373"/>
      <c r="AK109" s="373"/>
      <c r="AL109" s="373"/>
      <c r="AM109" s="373"/>
      <c r="AN109" s="373"/>
      <c r="AO109" s="373"/>
      <c r="AP109" s="373"/>
      <c r="AQ109" s="373"/>
      <c r="AR109" s="373"/>
      <c r="AS109" s="373"/>
      <c r="AT109" s="373"/>
      <c r="AU109" s="373"/>
      <c r="AV109" s="373"/>
      <c r="AW109" s="373"/>
      <c r="AX109" s="373"/>
      <c r="AY109" s="373"/>
      <c r="AZ109" s="373"/>
      <c r="BA109" s="373"/>
      <c r="BB109" s="373"/>
      <c r="BC109" s="373"/>
      <c r="BD109" s="373"/>
      <c r="BE109" s="373"/>
      <c r="BF109" s="373"/>
    </row>
    <row r="110" spans="1:58" s="374" customFormat="1" ht="12" customHeight="1" x14ac:dyDescent="0.15">
      <c r="A110" s="379"/>
      <c r="B110" s="379"/>
      <c r="C110" s="379"/>
      <c r="D110" s="379"/>
      <c r="E110" s="379"/>
      <c r="F110" s="382"/>
      <c r="G110" s="377"/>
      <c r="H110" s="539"/>
      <c r="I110" s="539"/>
      <c r="J110" s="539"/>
      <c r="K110" s="539"/>
      <c r="L110" s="381"/>
      <c r="M110" s="543"/>
      <c r="N110" s="543"/>
      <c r="O110" s="543"/>
      <c r="P110" s="356"/>
      <c r="Q110" s="381"/>
      <c r="U110" s="373"/>
      <c r="V110" s="373"/>
      <c r="W110" s="373"/>
      <c r="X110" s="373"/>
      <c r="Y110" s="373"/>
      <c r="Z110" s="373"/>
      <c r="AA110" s="373"/>
      <c r="AB110" s="373"/>
      <c r="AC110" s="373"/>
      <c r="AD110" s="373"/>
      <c r="AE110" s="373"/>
      <c r="AF110" s="373"/>
      <c r="AG110" s="373"/>
      <c r="AH110" s="373"/>
      <c r="AI110" s="373"/>
      <c r="AJ110" s="373"/>
      <c r="AK110" s="373"/>
      <c r="AL110" s="373"/>
      <c r="AM110" s="373"/>
      <c r="AN110" s="373"/>
      <c r="AO110" s="373"/>
      <c r="AP110" s="373"/>
      <c r="AQ110" s="373"/>
      <c r="AR110" s="373"/>
      <c r="AS110" s="373"/>
      <c r="AT110" s="373"/>
      <c r="AU110" s="373"/>
      <c r="AV110" s="373"/>
      <c r="AW110" s="373"/>
      <c r="AX110" s="373"/>
      <c r="AY110" s="373"/>
      <c r="AZ110" s="373"/>
      <c r="BA110" s="373"/>
      <c r="BB110" s="373"/>
      <c r="BC110" s="373"/>
      <c r="BD110" s="373"/>
      <c r="BE110" s="373"/>
      <c r="BF110" s="373"/>
    </row>
    <row r="111" spans="1:58" s="374" customFormat="1" ht="12" customHeight="1" x14ac:dyDescent="0.15">
      <c r="A111" s="379"/>
      <c r="B111" s="379"/>
      <c r="C111" s="379"/>
      <c r="D111" s="379"/>
      <c r="E111" s="379"/>
      <c r="F111" s="382"/>
      <c r="G111" s="377"/>
      <c r="H111" s="539"/>
      <c r="I111" s="539"/>
      <c r="J111" s="539"/>
      <c r="K111" s="539"/>
      <c r="L111" s="380"/>
      <c r="M111" s="543"/>
      <c r="N111" s="543"/>
      <c r="O111" s="543"/>
      <c r="P111" s="356"/>
      <c r="Q111" s="380"/>
      <c r="U111" s="373"/>
      <c r="V111" s="373"/>
      <c r="W111" s="373"/>
      <c r="X111" s="373"/>
      <c r="Y111" s="373"/>
      <c r="Z111" s="373"/>
      <c r="AA111" s="373"/>
      <c r="AB111" s="373"/>
      <c r="AC111" s="373"/>
      <c r="AD111" s="373"/>
      <c r="AE111" s="373"/>
      <c r="AF111" s="373"/>
      <c r="AG111" s="373"/>
      <c r="AH111" s="373"/>
      <c r="AI111" s="373"/>
      <c r="AJ111" s="373"/>
      <c r="AK111" s="373"/>
      <c r="AL111" s="373"/>
      <c r="AM111" s="373"/>
      <c r="AN111" s="373"/>
      <c r="AO111" s="373"/>
      <c r="AP111" s="373"/>
      <c r="AQ111" s="373"/>
      <c r="AR111" s="373"/>
      <c r="AS111" s="373"/>
      <c r="AT111" s="373"/>
      <c r="AU111" s="373"/>
      <c r="AV111" s="373"/>
      <c r="AW111" s="373"/>
      <c r="AX111" s="373"/>
      <c r="AY111" s="373"/>
      <c r="AZ111" s="373"/>
      <c r="BA111" s="373"/>
      <c r="BB111" s="373"/>
      <c r="BC111" s="373"/>
      <c r="BD111" s="373"/>
      <c r="BE111" s="373"/>
      <c r="BF111" s="373"/>
    </row>
    <row r="112" spans="1:58" s="374" customFormat="1" ht="12" customHeight="1" x14ac:dyDescent="0.15">
      <c r="A112" s="379"/>
      <c r="B112" s="379"/>
      <c r="C112" s="379"/>
      <c r="D112" s="379"/>
      <c r="E112" s="379"/>
      <c r="F112" s="382"/>
      <c r="G112" s="377"/>
      <c r="H112" s="539"/>
      <c r="I112" s="539"/>
      <c r="J112" s="539"/>
      <c r="K112" s="539"/>
      <c r="L112" s="380"/>
      <c r="M112" s="543"/>
      <c r="N112" s="543"/>
      <c r="O112" s="543"/>
      <c r="P112" s="356"/>
      <c r="Q112" s="380"/>
      <c r="U112" s="373"/>
      <c r="V112" s="373"/>
      <c r="W112" s="373"/>
      <c r="X112" s="373"/>
      <c r="Y112" s="373"/>
      <c r="Z112" s="373"/>
      <c r="AA112" s="373"/>
      <c r="AB112" s="373"/>
      <c r="AC112" s="373"/>
      <c r="AD112" s="373"/>
      <c r="AE112" s="373"/>
      <c r="AF112" s="373"/>
      <c r="AG112" s="373"/>
      <c r="AH112" s="373"/>
      <c r="AI112" s="373"/>
      <c r="AJ112" s="373"/>
      <c r="AK112" s="373"/>
      <c r="AL112" s="373"/>
      <c r="AM112" s="373"/>
      <c r="AN112" s="373"/>
      <c r="AO112" s="373"/>
      <c r="AP112" s="373"/>
      <c r="AQ112" s="373"/>
      <c r="AR112" s="373"/>
      <c r="AS112" s="373"/>
      <c r="AT112" s="373"/>
      <c r="AU112" s="373"/>
      <c r="AV112" s="373"/>
      <c r="AW112" s="373"/>
      <c r="AX112" s="373"/>
      <c r="AY112" s="373"/>
      <c r="AZ112" s="373"/>
      <c r="BA112" s="373"/>
      <c r="BB112" s="373"/>
      <c r="BC112" s="373"/>
      <c r="BD112" s="373"/>
      <c r="BE112" s="373"/>
      <c r="BF112" s="373"/>
    </row>
    <row r="113" spans="1:58" s="374" customFormat="1" ht="12" customHeight="1" x14ac:dyDescent="0.15">
      <c r="A113" s="379"/>
      <c r="B113" s="379"/>
      <c r="C113" s="379"/>
      <c r="D113" s="379"/>
      <c r="E113" s="379"/>
      <c r="F113" s="382"/>
      <c r="G113" s="377"/>
      <c r="H113" s="539"/>
      <c r="I113" s="539"/>
      <c r="J113" s="539"/>
      <c r="K113" s="539"/>
      <c r="L113" s="381"/>
      <c r="M113" s="543"/>
      <c r="N113" s="543"/>
      <c r="O113" s="543"/>
      <c r="P113" s="356"/>
      <c r="Q113" s="381"/>
      <c r="U113" s="373"/>
      <c r="V113" s="373"/>
      <c r="W113" s="373"/>
      <c r="X113" s="373"/>
      <c r="Y113" s="373"/>
      <c r="Z113" s="373"/>
      <c r="AA113" s="373"/>
      <c r="AB113" s="373"/>
      <c r="AC113" s="373"/>
      <c r="AD113" s="373"/>
      <c r="AE113" s="373"/>
      <c r="AF113" s="373"/>
      <c r="AG113" s="373"/>
      <c r="AH113" s="373"/>
      <c r="AI113" s="373"/>
      <c r="AJ113" s="373"/>
      <c r="AK113" s="373"/>
      <c r="AL113" s="373"/>
      <c r="AM113" s="373"/>
      <c r="AN113" s="373"/>
      <c r="AO113" s="373"/>
      <c r="AP113" s="373"/>
      <c r="AQ113" s="373"/>
      <c r="AR113" s="373"/>
      <c r="AS113" s="373"/>
      <c r="AT113" s="373"/>
      <c r="AU113" s="373"/>
      <c r="AV113" s="373"/>
      <c r="AW113" s="373"/>
      <c r="AX113" s="373"/>
      <c r="AY113" s="373"/>
      <c r="AZ113" s="373"/>
      <c r="BA113" s="373"/>
      <c r="BB113" s="373"/>
      <c r="BC113" s="373"/>
      <c r="BD113" s="373"/>
      <c r="BE113" s="373"/>
      <c r="BF113" s="373"/>
    </row>
    <row r="114" spans="1:58" s="374" customFormat="1" ht="12" customHeight="1" x14ac:dyDescent="0.15">
      <c r="A114" s="379"/>
      <c r="B114" s="379"/>
      <c r="C114" s="379"/>
      <c r="D114" s="379"/>
      <c r="E114" s="379"/>
      <c r="F114" s="382"/>
      <c r="G114" s="377"/>
      <c r="H114" s="539"/>
      <c r="I114" s="539"/>
      <c r="J114" s="539"/>
      <c r="K114" s="539"/>
      <c r="L114" s="380"/>
      <c r="M114" s="543"/>
      <c r="N114" s="543"/>
      <c r="O114" s="543"/>
      <c r="P114" s="356"/>
      <c r="Q114" s="380"/>
      <c r="U114" s="373"/>
      <c r="V114" s="373"/>
      <c r="W114" s="373"/>
      <c r="X114" s="373"/>
      <c r="Y114" s="373"/>
      <c r="Z114" s="373"/>
      <c r="AA114" s="373"/>
      <c r="AB114" s="373"/>
      <c r="AC114" s="373"/>
      <c r="AD114" s="373"/>
      <c r="AE114" s="373"/>
      <c r="AF114" s="373"/>
      <c r="AG114" s="373"/>
      <c r="AH114" s="373"/>
      <c r="AI114" s="373"/>
      <c r="AJ114" s="373"/>
      <c r="AK114" s="373"/>
      <c r="AL114" s="373"/>
      <c r="AM114" s="373"/>
      <c r="AN114" s="373"/>
      <c r="AO114" s="373"/>
      <c r="AP114" s="373"/>
      <c r="AQ114" s="373"/>
      <c r="AR114" s="373"/>
      <c r="AS114" s="373"/>
      <c r="AT114" s="373"/>
      <c r="AU114" s="373"/>
      <c r="AV114" s="373"/>
      <c r="AW114" s="373"/>
      <c r="AX114" s="373"/>
      <c r="AY114" s="373"/>
      <c r="AZ114" s="373"/>
      <c r="BA114" s="373"/>
      <c r="BB114" s="373"/>
      <c r="BC114" s="373"/>
      <c r="BD114" s="373"/>
      <c r="BE114" s="373"/>
      <c r="BF114" s="373"/>
    </row>
    <row r="115" spans="1:58" s="374" customFormat="1" x14ac:dyDescent="0.15">
      <c r="A115" s="379"/>
      <c r="B115" s="379"/>
      <c r="C115" s="379"/>
      <c r="D115" s="379"/>
      <c r="E115" s="379"/>
      <c r="F115" s="382"/>
      <c r="G115" s="377"/>
      <c r="H115" s="539"/>
      <c r="I115" s="539"/>
      <c r="J115" s="539"/>
      <c r="K115" s="539"/>
      <c r="L115" s="381"/>
      <c r="M115" s="543"/>
      <c r="N115" s="543"/>
      <c r="O115" s="543"/>
      <c r="P115" s="356"/>
      <c r="Q115" s="381"/>
      <c r="U115" s="373"/>
      <c r="V115" s="373"/>
      <c r="W115" s="373"/>
      <c r="X115" s="373"/>
      <c r="Y115" s="373"/>
      <c r="Z115" s="373"/>
      <c r="AA115" s="373"/>
      <c r="AB115" s="373"/>
      <c r="AC115" s="373"/>
      <c r="AD115" s="373"/>
      <c r="AE115" s="373"/>
      <c r="AF115" s="373"/>
      <c r="AG115" s="373"/>
      <c r="AH115" s="373"/>
      <c r="AI115" s="373"/>
      <c r="AJ115" s="373"/>
      <c r="AK115" s="373"/>
      <c r="AL115" s="373"/>
      <c r="AM115" s="373"/>
      <c r="AN115" s="373"/>
      <c r="AO115" s="373"/>
      <c r="AP115" s="373"/>
      <c r="AQ115" s="373"/>
      <c r="AR115" s="373"/>
      <c r="AS115" s="373"/>
      <c r="AT115" s="373"/>
      <c r="AU115" s="373"/>
      <c r="AV115" s="373"/>
      <c r="AW115" s="373"/>
      <c r="AX115" s="373"/>
      <c r="AY115" s="373"/>
      <c r="AZ115" s="373"/>
      <c r="BA115" s="373"/>
      <c r="BB115" s="373"/>
      <c r="BC115" s="373"/>
      <c r="BD115" s="373"/>
      <c r="BE115" s="373"/>
      <c r="BF115" s="373"/>
    </row>
    <row r="116" spans="1:58" s="374" customFormat="1" x14ac:dyDescent="0.15">
      <c r="A116" s="379"/>
      <c r="B116" s="379"/>
      <c r="C116" s="379"/>
      <c r="D116" s="379"/>
      <c r="E116" s="379"/>
      <c r="F116" s="382"/>
      <c r="G116" s="377"/>
      <c r="H116" s="539"/>
      <c r="I116" s="539"/>
      <c r="J116" s="539"/>
      <c r="K116" s="539"/>
      <c r="L116" s="381"/>
      <c r="M116" s="543"/>
      <c r="N116" s="543"/>
      <c r="O116" s="543"/>
      <c r="P116" s="356"/>
      <c r="Q116" s="381"/>
      <c r="U116" s="373"/>
      <c r="V116" s="373"/>
      <c r="W116" s="373"/>
      <c r="X116" s="373"/>
      <c r="Y116" s="373"/>
      <c r="Z116" s="373"/>
      <c r="AA116" s="373"/>
      <c r="AB116" s="373"/>
      <c r="AC116" s="373"/>
      <c r="AD116" s="373"/>
      <c r="AE116" s="373"/>
      <c r="AF116" s="373"/>
      <c r="AG116" s="373"/>
      <c r="AH116" s="373"/>
      <c r="AI116" s="373"/>
      <c r="AJ116" s="373"/>
      <c r="AK116" s="373"/>
      <c r="AL116" s="373"/>
      <c r="AM116" s="373"/>
      <c r="AN116" s="373"/>
      <c r="AO116" s="373"/>
      <c r="AP116" s="373"/>
      <c r="AQ116" s="373"/>
      <c r="AR116" s="373"/>
      <c r="AS116" s="373"/>
      <c r="AT116" s="373"/>
      <c r="AU116" s="373"/>
      <c r="AV116" s="373"/>
      <c r="AW116" s="373"/>
      <c r="AX116" s="373"/>
      <c r="AY116" s="373"/>
      <c r="AZ116" s="373"/>
      <c r="BA116" s="373"/>
      <c r="BB116" s="373"/>
      <c r="BC116" s="373"/>
      <c r="BD116" s="373"/>
      <c r="BE116" s="373"/>
      <c r="BF116" s="373"/>
    </row>
    <row r="117" spans="1:58" s="374" customFormat="1" x14ac:dyDescent="0.15">
      <c r="A117" s="379"/>
      <c r="B117" s="379"/>
      <c r="C117" s="379"/>
      <c r="D117" s="379"/>
      <c r="E117" s="379"/>
      <c r="F117" s="382"/>
      <c r="G117" s="377"/>
      <c r="H117" s="539"/>
      <c r="I117" s="539"/>
      <c r="J117" s="539"/>
      <c r="K117" s="539"/>
      <c r="L117" s="381"/>
      <c r="M117" s="543"/>
      <c r="N117" s="543"/>
      <c r="O117" s="543"/>
      <c r="P117" s="356"/>
      <c r="Q117" s="381"/>
      <c r="U117" s="373"/>
      <c r="V117" s="373"/>
      <c r="W117" s="373"/>
      <c r="X117" s="373"/>
      <c r="Y117" s="373"/>
      <c r="Z117" s="373"/>
      <c r="AA117" s="373"/>
      <c r="AB117" s="373"/>
      <c r="AC117" s="373"/>
      <c r="AD117" s="373"/>
      <c r="AE117" s="373"/>
      <c r="AF117" s="373"/>
      <c r="AG117" s="373"/>
      <c r="AH117" s="373"/>
      <c r="AI117" s="373"/>
      <c r="AJ117" s="373"/>
      <c r="AK117" s="373"/>
      <c r="AL117" s="373"/>
      <c r="AM117" s="373"/>
      <c r="AN117" s="373"/>
      <c r="AO117" s="373"/>
      <c r="AP117" s="373"/>
      <c r="AQ117" s="373"/>
      <c r="AR117" s="373"/>
      <c r="AS117" s="373"/>
      <c r="AT117" s="373"/>
      <c r="AU117" s="373"/>
      <c r="AV117" s="373"/>
      <c r="AW117" s="373"/>
      <c r="AX117" s="373"/>
      <c r="AY117" s="373"/>
      <c r="AZ117" s="373"/>
      <c r="BA117" s="373"/>
      <c r="BB117" s="373"/>
      <c r="BC117" s="373"/>
      <c r="BD117" s="373"/>
      <c r="BE117" s="373"/>
      <c r="BF117" s="373"/>
    </row>
    <row r="118" spans="1:58" s="374" customFormat="1" x14ac:dyDescent="0.15">
      <c r="A118" s="379"/>
      <c r="B118" s="379"/>
      <c r="C118" s="379"/>
      <c r="D118" s="379"/>
      <c r="E118" s="379"/>
      <c r="F118" s="382"/>
      <c r="G118" s="377"/>
      <c r="H118" s="539"/>
      <c r="I118" s="539"/>
      <c r="J118" s="539"/>
      <c r="K118" s="539"/>
      <c r="L118" s="381"/>
      <c r="M118" s="543"/>
      <c r="N118" s="543"/>
      <c r="O118" s="543"/>
      <c r="P118" s="356"/>
      <c r="Q118" s="381"/>
      <c r="U118" s="373"/>
      <c r="V118" s="373"/>
      <c r="W118" s="373"/>
      <c r="X118" s="373"/>
      <c r="Y118" s="373"/>
      <c r="Z118" s="373"/>
      <c r="AA118" s="373"/>
      <c r="AB118" s="373"/>
      <c r="AC118" s="373"/>
      <c r="AD118" s="373"/>
      <c r="AE118" s="373"/>
      <c r="AF118" s="373"/>
      <c r="AG118" s="373"/>
      <c r="AH118" s="373"/>
      <c r="AI118" s="373"/>
      <c r="AJ118" s="373"/>
      <c r="AK118" s="373"/>
      <c r="AL118" s="373"/>
      <c r="AM118" s="373"/>
      <c r="AN118" s="373"/>
      <c r="AO118" s="373"/>
      <c r="AP118" s="373"/>
      <c r="AQ118" s="373"/>
      <c r="AR118" s="373"/>
      <c r="AS118" s="373"/>
      <c r="AT118" s="373"/>
      <c r="AU118" s="373"/>
      <c r="AV118" s="373"/>
      <c r="AW118" s="373"/>
      <c r="AX118" s="373"/>
      <c r="AY118" s="373"/>
      <c r="AZ118" s="373"/>
      <c r="BA118" s="373"/>
      <c r="BB118" s="373"/>
      <c r="BC118" s="373"/>
      <c r="BD118" s="373"/>
      <c r="BE118" s="373"/>
      <c r="BF118" s="373"/>
    </row>
    <row r="119" spans="1:58" s="374" customFormat="1" x14ac:dyDescent="0.15">
      <c r="A119" s="379"/>
      <c r="B119" s="379"/>
      <c r="C119" s="379"/>
      <c r="D119" s="379"/>
      <c r="E119" s="379"/>
      <c r="F119" s="382"/>
      <c r="G119" s="377"/>
      <c r="H119" s="539"/>
      <c r="I119" s="539"/>
      <c r="J119" s="539"/>
      <c r="K119" s="539"/>
      <c r="L119" s="381"/>
      <c r="M119" s="543"/>
      <c r="N119" s="543"/>
      <c r="O119" s="543"/>
      <c r="P119" s="356"/>
      <c r="Q119" s="381"/>
      <c r="U119" s="373"/>
      <c r="V119" s="373"/>
      <c r="W119" s="373"/>
      <c r="X119" s="373"/>
      <c r="Y119" s="373"/>
      <c r="Z119" s="373"/>
      <c r="AA119" s="373"/>
      <c r="AB119" s="373"/>
      <c r="AC119" s="373"/>
      <c r="AD119" s="373"/>
      <c r="AE119" s="373"/>
      <c r="AF119" s="373"/>
      <c r="AG119" s="373"/>
      <c r="AH119" s="373"/>
      <c r="AI119" s="373"/>
      <c r="AJ119" s="373"/>
      <c r="AK119" s="373"/>
      <c r="AL119" s="373"/>
      <c r="AM119" s="373"/>
      <c r="AN119" s="373"/>
      <c r="AO119" s="373"/>
      <c r="AP119" s="373"/>
      <c r="AQ119" s="373"/>
      <c r="AR119" s="373"/>
      <c r="AS119" s="373"/>
      <c r="AT119" s="373"/>
      <c r="AU119" s="373"/>
      <c r="AV119" s="373"/>
      <c r="AW119" s="373"/>
      <c r="AX119" s="373"/>
      <c r="AY119" s="373"/>
      <c r="AZ119" s="373"/>
      <c r="BA119" s="373"/>
      <c r="BB119" s="373"/>
      <c r="BC119" s="373"/>
      <c r="BD119" s="373"/>
      <c r="BE119" s="373"/>
      <c r="BF119" s="373"/>
    </row>
    <row r="120" spans="1:58" s="374" customFormat="1" x14ac:dyDescent="0.15">
      <c r="A120" s="379"/>
      <c r="B120" s="379"/>
      <c r="C120" s="379"/>
      <c r="D120" s="379"/>
      <c r="E120" s="379"/>
      <c r="F120" s="382"/>
      <c r="G120" s="377"/>
      <c r="H120" s="539"/>
      <c r="I120" s="539"/>
      <c r="J120" s="539"/>
      <c r="K120" s="539"/>
      <c r="L120" s="381"/>
      <c r="M120" s="543"/>
      <c r="N120" s="543"/>
      <c r="O120" s="543"/>
      <c r="P120" s="356"/>
      <c r="Q120" s="381"/>
      <c r="U120" s="373"/>
      <c r="V120" s="373"/>
      <c r="W120" s="373"/>
      <c r="X120" s="373"/>
      <c r="Y120" s="373"/>
      <c r="Z120" s="373"/>
      <c r="AA120" s="373"/>
      <c r="AB120" s="373"/>
      <c r="AC120" s="373"/>
      <c r="AD120" s="373"/>
      <c r="AE120" s="373"/>
      <c r="AF120" s="373"/>
      <c r="AG120" s="373"/>
      <c r="AH120" s="373"/>
      <c r="AI120" s="373"/>
      <c r="AJ120" s="373"/>
      <c r="AK120" s="373"/>
      <c r="AL120" s="373"/>
      <c r="AM120" s="373"/>
      <c r="AN120" s="373"/>
      <c r="AO120" s="373"/>
      <c r="AP120" s="373"/>
      <c r="AQ120" s="373"/>
      <c r="AR120" s="373"/>
      <c r="AS120" s="373"/>
      <c r="AT120" s="373"/>
      <c r="AU120" s="373"/>
      <c r="AV120" s="373"/>
      <c r="AW120" s="373"/>
      <c r="AX120" s="373"/>
      <c r="AY120" s="373"/>
      <c r="AZ120" s="373"/>
      <c r="BA120" s="373"/>
      <c r="BB120" s="373"/>
      <c r="BC120" s="373"/>
      <c r="BD120" s="373"/>
      <c r="BE120" s="373"/>
      <c r="BF120" s="373"/>
    </row>
    <row r="121" spans="1:58" s="374" customFormat="1" x14ac:dyDescent="0.15">
      <c r="A121" s="379"/>
      <c r="B121" s="379"/>
      <c r="C121" s="379"/>
      <c r="D121" s="379"/>
      <c r="E121" s="379"/>
      <c r="F121" s="382"/>
      <c r="G121" s="377"/>
      <c r="H121" s="539"/>
      <c r="I121" s="539"/>
      <c r="J121" s="539"/>
      <c r="K121" s="539"/>
      <c r="L121" s="381"/>
      <c r="M121" s="543"/>
      <c r="N121" s="543"/>
      <c r="O121" s="543"/>
      <c r="P121" s="356"/>
      <c r="Q121" s="381"/>
      <c r="U121" s="373"/>
      <c r="V121" s="373"/>
      <c r="W121" s="373"/>
      <c r="X121" s="373"/>
      <c r="Y121" s="373"/>
      <c r="Z121" s="373"/>
      <c r="AA121" s="373"/>
      <c r="AB121" s="373"/>
      <c r="AC121" s="373"/>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3"/>
      <c r="AY121" s="373"/>
      <c r="AZ121" s="373"/>
      <c r="BA121" s="373"/>
      <c r="BB121" s="373"/>
      <c r="BC121" s="373"/>
      <c r="BD121" s="373"/>
      <c r="BE121" s="373"/>
      <c r="BF121" s="373"/>
    </row>
    <row r="122" spans="1:58" s="374" customFormat="1" x14ac:dyDescent="0.15">
      <c r="A122" s="379"/>
      <c r="B122" s="379"/>
      <c r="C122" s="379"/>
      <c r="D122" s="379"/>
      <c r="E122" s="379"/>
      <c r="F122" s="382"/>
      <c r="G122" s="377"/>
      <c r="H122" s="539"/>
      <c r="I122" s="539"/>
      <c r="J122" s="539"/>
      <c r="K122" s="539"/>
      <c r="L122" s="380"/>
      <c r="M122" s="543"/>
      <c r="N122" s="543"/>
      <c r="O122" s="543"/>
      <c r="P122" s="356"/>
      <c r="Q122" s="380"/>
      <c r="U122" s="373"/>
      <c r="V122" s="373"/>
      <c r="W122" s="373"/>
      <c r="X122" s="373"/>
      <c r="Y122" s="373"/>
      <c r="Z122" s="373"/>
      <c r="AA122" s="373"/>
      <c r="AB122" s="373"/>
      <c r="AC122" s="373"/>
      <c r="AD122" s="373"/>
      <c r="AE122" s="373"/>
      <c r="AF122" s="373"/>
      <c r="AG122" s="373"/>
      <c r="AH122" s="373"/>
      <c r="AI122" s="373"/>
      <c r="AJ122" s="373"/>
      <c r="AK122" s="373"/>
      <c r="AL122" s="373"/>
      <c r="AM122" s="373"/>
      <c r="AN122" s="373"/>
      <c r="AO122" s="373"/>
      <c r="AP122" s="373"/>
      <c r="AQ122" s="373"/>
      <c r="AR122" s="373"/>
      <c r="AS122" s="373"/>
      <c r="AT122" s="373"/>
      <c r="AU122" s="373"/>
      <c r="AV122" s="373"/>
      <c r="AW122" s="373"/>
      <c r="AX122" s="373"/>
      <c r="AY122" s="373"/>
      <c r="AZ122" s="373"/>
      <c r="BA122" s="373"/>
      <c r="BB122" s="373"/>
      <c r="BC122" s="373"/>
      <c r="BD122" s="373"/>
      <c r="BE122" s="373"/>
      <c r="BF122" s="373"/>
    </row>
    <row r="123" spans="1:58" s="374" customFormat="1" x14ac:dyDescent="0.15">
      <c r="A123" s="379"/>
      <c r="B123" s="379"/>
      <c r="C123" s="379"/>
      <c r="D123" s="379"/>
      <c r="E123" s="379"/>
      <c r="F123" s="382"/>
      <c r="G123" s="377"/>
      <c r="H123" s="539"/>
      <c r="I123" s="539"/>
      <c r="J123" s="539"/>
      <c r="K123" s="539"/>
      <c r="L123" s="380"/>
      <c r="M123" s="543"/>
      <c r="N123" s="543"/>
      <c r="O123" s="543"/>
      <c r="P123" s="356"/>
      <c r="Q123" s="380"/>
      <c r="U123" s="373"/>
      <c r="V123" s="373"/>
      <c r="W123" s="373"/>
      <c r="X123" s="373"/>
      <c r="Y123" s="373"/>
      <c r="Z123" s="373"/>
      <c r="AA123" s="373"/>
      <c r="AB123" s="373"/>
      <c r="AC123" s="373"/>
      <c r="AD123" s="373"/>
      <c r="AE123" s="373"/>
      <c r="AF123" s="373"/>
      <c r="AG123" s="373"/>
      <c r="AH123" s="373"/>
      <c r="AI123" s="373"/>
      <c r="AJ123" s="373"/>
      <c r="AK123" s="373"/>
      <c r="AL123" s="373"/>
      <c r="AM123" s="373"/>
      <c r="AN123" s="373"/>
      <c r="AO123" s="373"/>
      <c r="AP123" s="373"/>
      <c r="AQ123" s="373"/>
      <c r="AR123" s="373"/>
      <c r="AS123" s="373"/>
      <c r="AT123" s="373"/>
      <c r="AU123" s="373"/>
      <c r="AV123" s="373"/>
      <c r="AW123" s="373"/>
      <c r="AX123" s="373"/>
      <c r="AY123" s="373"/>
      <c r="AZ123" s="373"/>
      <c r="BA123" s="373"/>
      <c r="BB123" s="373"/>
      <c r="BC123" s="373"/>
      <c r="BD123" s="373"/>
      <c r="BE123" s="373"/>
      <c r="BF123" s="373"/>
    </row>
    <row r="124" spans="1:58" s="374" customFormat="1" x14ac:dyDescent="0.15">
      <c r="A124" s="379"/>
      <c r="B124" s="379"/>
      <c r="C124" s="379"/>
      <c r="D124" s="379"/>
      <c r="E124" s="379"/>
      <c r="F124" s="382"/>
      <c r="G124" s="377"/>
      <c r="H124" s="539"/>
      <c r="I124" s="539"/>
      <c r="J124" s="539"/>
      <c r="K124" s="539"/>
      <c r="L124" s="380"/>
      <c r="M124" s="543"/>
      <c r="N124" s="543"/>
      <c r="O124" s="543"/>
      <c r="P124" s="356"/>
      <c r="Q124" s="380"/>
      <c r="U124" s="373"/>
      <c r="V124" s="373"/>
      <c r="W124" s="373"/>
      <c r="X124" s="373"/>
      <c r="Y124" s="373"/>
      <c r="Z124" s="373"/>
      <c r="AA124" s="373"/>
      <c r="AB124" s="373"/>
      <c r="AC124" s="373"/>
      <c r="AD124" s="373"/>
      <c r="AE124" s="373"/>
      <c r="AF124" s="373"/>
      <c r="AG124" s="373"/>
      <c r="AH124" s="373"/>
      <c r="AI124" s="373"/>
      <c r="AJ124" s="373"/>
      <c r="AK124" s="373"/>
      <c r="AL124" s="373"/>
      <c r="AM124" s="373"/>
      <c r="AN124" s="373"/>
      <c r="AO124" s="373"/>
      <c r="AP124" s="373"/>
      <c r="AQ124" s="373"/>
      <c r="AR124" s="373"/>
      <c r="AS124" s="373"/>
      <c r="AT124" s="373"/>
      <c r="AU124" s="373"/>
      <c r="AV124" s="373"/>
      <c r="AW124" s="373"/>
      <c r="AX124" s="373"/>
      <c r="AY124" s="373"/>
      <c r="AZ124" s="373"/>
      <c r="BA124" s="373"/>
      <c r="BB124" s="373"/>
      <c r="BC124" s="373"/>
      <c r="BD124" s="373"/>
      <c r="BE124" s="373"/>
      <c r="BF124" s="373"/>
    </row>
    <row r="125" spans="1:58" s="374" customFormat="1" x14ac:dyDescent="0.15">
      <c r="A125" s="379"/>
      <c r="B125" s="379"/>
      <c r="C125" s="379"/>
      <c r="D125" s="379"/>
      <c r="E125" s="379"/>
      <c r="F125" s="382"/>
      <c r="G125" s="377"/>
      <c r="H125" s="539"/>
      <c r="I125" s="539"/>
      <c r="J125" s="539"/>
      <c r="K125" s="539"/>
      <c r="M125" s="543"/>
      <c r="N125" s="543"/>
      <c r="O125" s="543"/>
      <c r="P125" s="356"/>
      <c r="U125" s="373"/>
      <c r="V125" s="373"/>
      <c r="W125" s="373"/>
      <c r="X125" s="373"/>
      <c r="Y125" s="373"/>
      <c r="Z125" s="373"/>
      <c r="AA125" s="373"/>
      <c r="AB125" s="373"/>
      <c r="AC125" s="373"/>
      <c r="AD125" s="373"/>
      <c r="AE125" s="373"/>
      <c r="AF125" s="373"/>
      <c r="AG125" s="373"/>
      <c r="AH125" s="373"/>
      <c r="AI125" s="373"/>
      <c r="AJ125" s="373"/>
      <c r="AK125" s="373"/>
      <c r="AL125" s="373"/>
      <c r="AM125" s="373"/>
      <c r="AN125" s="373"/>
      <c r="AO125" s="373"/>
      <c r="AP125" s="373"/>
      <c r="AQ125" s="373"/>
      <c r="AR125" s="373"/>
      <c r="AS125" s="373"/>
      <c r="AT125" s="373"/>
      <c r="AU125" s="373"/>
      <c r="AV125" s="373"/>
      <c r="AW125" s="373"/>
      <c r="AX125" s="373"/>
      <c r="AY125" s="373"/>
      <c r="AZ125" s="373"/>
      <c r="BA125" s="373"/>
      <c r="BB125" s="373"/>
      <c r="BC125" s="373"/>
      <c r="BD125" s="373"/>
      <c r="BE125" s="373"/>
      <c r="BF125" s="373"/>
    </row>
    <row r="126" spans="1:58" s="374" customFormat="1" x14ac:dyDescent="0.15">
      <c r="A126" s="379"/>
      <c r="B126" s="379"/>
      <c r="C126" s="379"/>
      <c r="D126" s="379"/>
      <c r="E126" s="379"/>
      <c r="F126" s="382"/>
      <c r="G126" s="377"/>
      <c r="H126" s="539"/>
      <c r="I126" s="539"/>
      <c r="J126" s="539"/>
      <c r="K126" s="539"/>
      <c r="M126" s="543"/>
      <c r="N126" s="543"/>
      <c r="O126" s="543"/>
      <c r="P126" s="356"/>
      <c r="U126" s="373"/>
      <c r="V126" s="373"/>
      <c r="W126" s="373"/>
      <c r="X126" s="373"/>
      <c r="Y126" s="373"/>
      <c r="Z126" s="373"/>
      <c r="AA126" s="373"/>
      <c r="AB126" s="373"/>
      <c r="AC126" s="373"/>
      <c r="AD126" s="373"/>
      <c r="AE126" s="373"/>
      <c r="AF126" s="373"/>
      <c r="AG126" s="373"/>
      <c r="AH126" s="373"/>
      <c r="AI126" s="373"/>
      <c r="AJ126" s="373"/>
      <c r="AK126" s="373"/>
      <c r="AL126" s="373"/>
      <c r="AM126" s="373"/>
      <c r="AN126" s="373"/>
      <c r="AO126" s="373"/>
      <c r="AP126" s="373"/>
      <c r="AQ126" s="373"/>
      <c r="AR126" s="373"/>
      <c r="AS126" s="373"/>
      <c r="AT126" s="373"/>
      <c r="AU126" s="373"/>
      <c r="AV126" s="373"/>
      <c r="AW126" s="373"/>
      <c r="AX126" s="373"/>
      <c r="AY126" s="373"/>
      <c r="AZ126" s="373"/>
      <c r="BA126" s="373"/>
      <c r="BB126" s="373"/>
      <c r="BC126" s="373"/>
      <c r="BD126" s="373"/>
      <c r="BE126" s="373"/>
      <c r="BF126" s="373"/>
    </row>
    <row r="127" spans="1:58" s="374" customFormat="1" x14ac:dyDescent="0.15">
      <c r="A127" s="379"/>
      <c r="B127" s="379"/>
      <c r="C127" s="379"/>
      <c r="D127" s="379"/>
      <c r="E127" s="379"/>
      <c r="F127" s="382"/>
      <c r="G127" s="377"/>
      <c r="H127" s="539"/>
      <c r="I127" s="539"/>
      <c r="J127" s="539"/>
      <c r="K127" s="539"/>
      <c r="M127" s="543"/>
      <c r="N127" s="543"/>
      <c r="O127" s="543"/>
      <c r="P127" s="356"/>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3"/>
      <c r="AY127" s="373"/>
      <c r="AZ127" s="373"/>
      <c r="BA127" s="373"/>
      <c r="BB127" s="373"/>
      <c r="BC127" s="373"/>
      <c r="BD127" s="373"/>
      <c r="BE127" s="373"/>
      <c r="BF127" s="373"/>
    </row>
    <row r="128" spans="1:58" s="374" customFormat="1" x14ac:dyDescent="0.15">
      <c r="A128" s="379"/>
      <c r="B128" s="379"/>
      <c r="C128" s="379"/>
      <c r="D128" s="379"/>
      <c r="E128" s="379"/>
      <c r="F128" s="382"/>
      <c r="G128" s="377"/>
      <c r="H128" s="539"/>
      <c r="I128" s="539"/>
      <c r="J128" s="539"/>
      <c r="K128" s="539"/>
      <c r="L128" s="375"/>
      <c r="M128" s="543"/>
      <c r="N128" s="543"/>
      <c r="O128" s="543"/>
      <c r="P128" s="356"/>
      <c r="Q128" s="375"/>
      <c r="U128" s="373"/>
      <c r="V128" s="373"/>
      <c r="W128" s="373"/>
      <c r="X128" s="373"/>
      <c r="Y128" s="373"/>
      <c r="Z128" s="373"/>
      <c r="AA128" s="373"/>
      <c r="AB128" s="373"/>
      <c r="AC128" s="373"/>
      <c r="AD128" s="37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3"/>
      <c r="AY128" s="373"/>
      <c r="AZ128" s="373"/>
      <c r="BA128" s="373"/>
      <c r="BB128" s="373"/>
      <c r="BC128" s="373"/>
      <c r="BD128" s="373"/>
      <c r="BE128" s="373"/>
      <c r="BF128" s="373"/>
    </row>
    <row r="129" spans="1:58" s="374" customFormat="1" x14ac:dyDescent="0.15">
      <c r="A129" s="379"/>
      <c r="B129" s="379"/>
      <c r="C129" s="379"/>
      <c r="D129" s="379"/>
      <c r="E129" s="379"/>
      <c r="F129" s="378"/>
      <c r="G129" s="377"/>
      <c r="H129" s="539"/>
      <c r="I129" s="539"/>
      <c r="J129" s="539"/>
      <c r="K129" s="539"/>
      <c r="L129" s="375"/>
      <c r="M129" s="543"/>
      <c r="N129" s="543"/>
      <c r="O129" s="543"/>
      <c r="P129" s="356"/>
      <c r="Q129" s="375"/>
      <c r="U129" s="373"/>
      <c r="V129" s="373"/>
      <c r="W129" s="373"/>
      <c r="X129" s="373"/>
      <c r="Y129" s="373"/>
      <c r="Z129" s="373"/>
      <c r="AA129" s="373"/>
      <c r="AB129" s="373"/>
      <c r="AC129" s="373"/>
      <c r="AD129" s="373"/>
      <c r="AE129" s="373"/>
      <c r="AF129" s="373"/>
      <c r="AG129" s="373"/>
      <c r="AH129" s="373"/>
      <c r="AI129" s="373"/>
      <c r="AJ129" s="373"/>
      <c r="AK129" s="373"/>
      <c r="AL129" s="373"/>
      <c r="AM129" s="373"/>
      <c r="AN129" s="373"/>
      <c r="AO129" s="373"/>
      <c r="AP129" s="373"/>
      <c r="AQ129" s="373"/>
      <c r="AR129" s="373"/>
      <c r="AS129" s="373"/>
      <c r="AT129" s="373"/>
      <c r="AU129" s="373"/>
      <c r="AV129" s="373"/>
      <c r="AW129" s="373"/>
      <c r="AX129" s="373"/>
      <c r="AY129" s="373"/>
      <c r="AZ129" s="373"/>
      <c r="BA129" s="373"/>
      <c r="BB129" s="373"/>
      <c r="BC129" s="373"/>
      <c r="BD129" s="373"/>
      <c r="BE129" s="373"/>
      <c r="BF129" s="373"/>
    </row>
    <row r="130" spans="1:58" s="374" customFormat="1" x14ac:dyDescent="0.15">
      <c r="A130" s="379"/>
      <c r="B130" s="379"/>
      <c r="C130" s="379"/>
      <c r="D130" s="379"/>
      <c r="E130" s="379"/>
      <c r="F130" s="378"/>
      <c r="G130" s="377"/>
      <c r="H130" s="539"/>
      <c r="I130" s="539"/>
      <c r="J130" s="539"/>
      <c r="K130" s="539"/>
      <c r="L130" s="375"/>
      <c r="M130" s="543"/>
      <c r="N130" s="543"/>
      <c r="O130" s="543"/>
      <c r="P130" s="356"/>
      <c r="Q130" s="375"/>
      <c r="U130" s="373"/>
      <c r="V130" s="373"/>
      <c r="W130" s="373"/>
      <c r="X130" s="373"/>
      <c r="Y130" s="373"/>
      <c r="Z130" s="373"/>
      <c r="AA130" s="373"/>
      <c r="AB130" s="373"/>
      <c r="AC130" s="373"/>
      <c r="AD130" s="373"/>
      <c r="AE130" s="373"/>
      <c r="AF130" s="373"/>
      <c r="AG130" s="373"/>
      <c r="AH130" s="373"/>
      <c r="AI130" s="373"/>
      <c r="AJ130" s="373"/>
      <c r="AK130" s="373"/>
      <c r="AL130" s="373"/>
      <c r="AM130" s="373"/>
      <c r="AN130" s="373"/>
      <c r="AO130" s="373"/>
      <c r="AP130" s="373"/>
      <c r="AQ130" s="373"/>
      <c r="AR130" s="373"/>
      <c r="AS130" s="373"/>
      <c r="AT130" s="373"/>
      <c r="AU130" s="373"/>
      <c r="AV130" s="373"/>
      <c r="AW130" s="373"/>
      <c r="AX130" s="373"/>
      <c r="AY130" s="373"/>
      <c r="AZ130" s="373"/>
      <c r="BA130" s="373"/>
      <c r="BB130" s="373"/>
      <c r="BC130" s="373"/>
      <c r="BD130" s="373"/>
      <c r="BE130" s="373"/>
      <c r="BF130" s="373"/>
    </row>
    <row r="131" spans="1:58" s="374" customFormat="1" x14ac:dyDescent="0.15">
      <c r="A131" s="379"/>
      <c r="B131" s="379"/>
      <c r="C131" s="379"/>
      <c r="D131" s="379"/>
      <c r="E131" s="379"/>
      <c r="F131" s="378"/>
      <c r="G131" s="377"/>
      <c r="H131" s="539"/>
      <c r="I131" s="539"/>
      <c r="J131" s="539"/>
      <c r="K131" s="539"/>
      <c r="L131" s="375"/>
      <c r="M131" s="543"/>
      <c r="N131" s="543"/>
      <c r="O131" s="543"/>
      <c r="P131" s="356"/>
      <c r="Q131" s="375"/>
      <c r="U131" s="373"/>
      <c r="V131" s="373"/>
      <c r="W131" s="373"/>
      <c r="X131" s="373"/>
      <c r="Y131" s="373"/>
      <c r="Z131" s="373"/>
      <c r="AA131" s="373"/>
      <c r="AB131" s="373"/>
      <c r="AC131" s="373"/>
      <c r="AD131" s="373"/>
      <c r="AE131" s="373"/>
      <c r="AF131" s="373"/>
      <c r="AG131" s="373"/>
      <c r="AH131" s="373"/>
      <c r="AI131" s="373"/>
      <c r="AJ131" s="373"/>
      <c r="AK131" s="373"/>
      <c r="AL131" s="373"/>
      <c r="AM131" s="373"/>
      <c r="AN131" s="373"/>
      <c r="AO131" s="373"/>
      <c r="AP131" s="373"/>
      <c r="AQ131" s="373"/>
      <c r="AR131" s="373"/>
      <c r="AS131" s="373"/>
      <c r="AT131" s="373"/>
      <c r="AU131" s="373"/>
      <c r="AV131" s="373"/>
      <c r="AW131" s="373"/>
      <c r="AX131" s="373"/>
      <c r="AY131" s="373"/>
      <c r="AZ131" s="373"/>
      <c r="BA131" s="373"/>
      <c r="BB131" s="373"/>
      <c r="BC131" s="373"/>
      <c r="BD131" s="373"/>
      <c r="BE131" s="373"/>
      <c r="BF131" s="373"/>
    </row>
    <row r="132" spans="1:58" s="374" customFormat="1" x14ac:dyDescent="0.15">
      <c r="A132" s="379"/>
      <c r="B132" s="379"/>
      <c r="C132" s="379"/>
      <c r="D132" s="379"/>
      <c r="E132" s="379"/>
      <c r="F132" s="378"/>
      <c r="G132" s="377"/>
      <c r="H132" s="539"/>
      <c r="I132" s="539"/>
      <c r="J132" s="539"/>
      <c r="K132" s="539"/>
      <c r="L132" s="375"/>
      <c r="M132" s="543"/>
      <c r="N132" s="543"/>
      <c r="O132" s="543"/>
      <c r="P132" s="356"/>
      <c r="Q132" s="375"/>
      <c r="U132" s="373"/>
      <c r="V132" s="373"/>
      <c r="W132" s="373"/>
      <c r="X132" s="373"/>
      <c r="Y132" s="373"/>
      <c r="Z132" s="373"/>
      <c r="AA132" s="373"/>
      <c r="AB132" s="373"/>
      <c r="AC132" s="373"/>
      <c r="AD132" s="373"/>
      <c r="AE132" s="373"/>
      <c r="AF132" s="373"/>
      <c r="AG132" s="373"/>
      <c r="AH132" s="373"/>
      <c r="AI132" s="373"/>
      <c r="AJ132" s="373"/>
      <c r="AK132" s="373"/>
      <c r="AL132" s="373"/>
      <c r="AM132" s="373"/>
      <c r="AN132" s="373"/>
      <c r="AO132" s="373"/>
      <c r="AP132" s="373"/>
      <c r="AQ132" s="373"/>
      <c r="AR132" s="373"/>
      <c r="AS132" s="373"/>
      <c r="AT132" s="373"/>
      <c r="AU132" s="373"/>
      <c r="AV132" s="373"/>
      <c r="AW132" s="373"/>
      <c r="AX132" s="373"/>
      <c r="AY132" s="373"/>
      <c r="AZ132" s="373"/>
      <c r="BA132" s="373"/>
      <c r="BB132" s="373"/>
      <c r="BC132" s="373"/>
      <c r="BD132" s="373"/>
      <c r="BE132" s="373"/>
      <c r="BF132" s="373"/>
    </row>
    <row r="133" spans="1:58" s="374" customFormat="1" x14ac:dyDescent="0.15">
      <c r="A133" s="379"/>
      <c r="B133" s="379"/>
      <c r="C133" s="379"/>
      <c r="D133" s="379"/>
      <c r="E133" s="379"/>
      <c r="F133" s="378"/>
      <c r="G133" s="377"/>
      <c r="H133" s="539"/>
      <c r="I133" s="539"/>
      <c r="J133" s="539"/>
      <c r="K133" s="539"/>
      <c r="L133" s="375"/>
      <c r="M133" s="543"/>
      <c r="N133" s="543"/>
      <c r="O133" s="543"/>
      <c r="P133" s="356"/>
      <c r="Q133" s="375"/>
      <c r="U133" s="373"/>
      <c r="V133" s="373"/>
      <c r="W133" s="373"/>
      <c r="X133" s="373"/>
      <c r="Y133" s="373"/>
      <c r="Z133" s="373"/>
      <c r="AA133" s="373"/>
      <c r="AB133" s="373"/>
      <c r="AC133" s="373"/>
      <c r="AD133" s="373"/>
      <c r="AE133" s="373"/>
      <c r="AF133" s="373"/>
      <c r="AG133" s="373"/>
      <c r="AH133" s="373"/>
      <c r="AI133" s="373"/>
      <c r="AJ133" s="373"/>
      <c r="AK133" s="373"/>
      <c r="AL133" s="373"/>
      <c r="AM133" s="373"/>
      <c r="AN133" s="373"/>
      <c r="AO133" s="373"/>
      <c r="AP133" s="373"/>
      <c r="AQ133" s="373"/>
      <c r="AR133" s="373"/>
      <c r="AS133" s="373"/>
      <c r="AT133" s="373"/>
      <c r="AU133" s="373"/>
      <c r="AV133" s="373"/>
      <c r="AW133" s="373"/>
      <c r="AX133" s="373"/>
      <c r="AY133" s="373"/>
      <c r="AZ133" s="373"/>
      <c r="BA133" s="373"/>
      <c r="BB133" s="373"/>
      <c r="BC133" s="373"/>
      <c r="BD133" s="373"/>
      <c r="BE133" s="373"/>
      <c r="BF133" s="373"/>
    </row>
    <row r="134" spans="1:58" s="374" customFormat="1" x14ac:dyDescent="0.15">
      <c r="A134" s="379"/>
      <c r="B134" s="379"/>
      <c r="C134" s="379"/>
      <c r="D134" s="379"/>
      <c r="E134" s="379"/>
      <c r="F134" s="378"/>
      <c r="G134" s="377"/>
      <c r="H134" s="539"/>
      <c r="I134" s="539"/>
      <c r="J134" s="539"/>
      <c r="K134" s="539"/>
      <c r="L134" s="375"/>
      <c r="M134" s="543"/>
      <c r="N134" s="543"/>
      <c r="O134" s="543"/>
      <c r="P134" s="356"/>
      <c r="Q134" s="375"/>
      <c r="U134" s="373"/>
      <c r="V134" s="373"/>
      <c r="W134" s="373"/>
      <c r="X134" s="373"/>
      <c r="Y134" s="373"/>
      <c r="Z134" s="373"/>
      <c r="AA134" s="373"/>
      <c r="AB134" s="373"/>
      <c r="AC134" s="373"/>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373"/>
      <c r="AY134" s="373"/>
      <c r="AZ134" s="373"/>
      <c r="BA134" s="373"/>
      <c r="BB134" s="373"/>
      <c r="BC134" s="373"/>
      <c r="BD134" s="373"/>
      <c r="BE134" s="373"/>
      <c r="BF134" s="373"/>
    </row>
    <row r="135" spans="1:58" s="374" customFormat="1" x14ac:dyDescent="0.15">
      <c r="A135" s="379"/>
      <c r="B135" s="379"/>
      <c r="C135" s="379"/>
      <c r="D135" s="379"/>
      <c r="E135" s="379"/>
      <c r="F135" s="378"/>
      <c r="G135" s="377"/>
      <c r="H135" s="539"/>
      <c r="I135" s="539"/>
      <c r="J135" s="539"/>
      <c r="K135" s="539"/>
      <c r="L135" s="375"/>
      <c r="M135" s="543"/>
      <c r="N135" s="543"/>
      <c r="O135" s="543"/>
      <c r="P135" s="356"/>
      <c r="Q135" s="375"/>
      <c r="U135" s="373"/>
      <c r="V135" s="373"/>
      <c r="W135" s="373"/>
      <c r="X135" s="373"/>
      <c r="Y135" s="373"/>
      <c r="Z135" s="373"/>
      <c r="AA135" s="373"/>
      <c r="AB135" s="373"/>
      <c r="AC135" s="373"/>
      <c r="AD135" s="373"/>
      <c r="AE135" s="373"/>
      <c r="AF135" s="373"/>
      <c r="AG135" s="373"/>
      <c r="AH135" s="373"/>
      <c r="AI135" s="373"/>
      <c r="AJ135" s="373"/>
      <c r="AK135" s="373"/>
      <c r="AL135" s="373"/>
      <c r="AM135" s="373"/>
      <c r="AN135" s="373"/>
      <c r="AO135" s="373"/>
      <c r="AP135" s="373"/>
      <c r="AQ135" s="373"/>
      <c r="AR135" s="373"/>
      <c r="AS135" s="373"/>
      <c r="AT135" s="373"/>
      <c r="AU135" s="373"/>
      <c r="AV135" s="373"/>
      <c r="AW135" s="373"/>
      <c r="AX135" s="373"/>
      <c r="AY135" s="373"/>
      <c r="AZ135" s="373"/>
      <c r="BA135" s="373"/>
      <c r="BB135" s="373"/>
      <c r="BC135" s="373"/>
      <c r="BD135" s="373"/>
      <c r="BE135" s="373"/>
      <c r="BF135" s="373"/>
    </row>
    <row r="136" spans="1:58" s="374" customFormat="1" x14ac:dyDescent="0.15">
      <c r="A136" s="379"/>
      <c r="B136" s="379"/>
      <c r="C136" s="379"/>
      <c r="D136" s="379"/>
      <c r="E136" s="379"/>
      <c r="F136" s="378"/>
      <c r="G136" s="377"/>
      <c r="H136" s="539"/>
      <c r="I136" s="539"/>
      <c r="J136" s="539"/>
      <c r="K136" s="539"/>
      <c r="L136" s="375"/>
      <c r="M136" s="543"/>
      <c r="N136" s="543"/>
      <c r="O136" s="543"/>
      <c r="P136" s="356"/>
      <c r="Q136" s="375"/>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3"/>
      <c r="AY136" s="373"/>
      <c r="AZ136" s="373"/>
      <c r="BA136" s="373"/>
      <c r="BB136" s="373"/>
      <c r="BC136" s="373"/>
      <c r="BD136" s="373"/>
      <c r="BE136" s="373"/>
      <c r="BF136" s="373"/>
    </row>
    <row r="137" spans="1:58" s="374" customFormat="1" x14ac:dyDescent="0.15">
      <c r="A137" s="379"/>
      <c r="B137" s="379"/>
      <c r="C137" s="379"/>
      <c r="D137" s="379"/>
      <c r="E137" s="379"/>
      <c r="F137" s="378"/>
      <c r="G137" s="377"/>
      <c r="H137" s="539"/>
      <c r="I137" s="539"/>
      <c r="J137" s="539"/>
      <c r="K137" s="539"/>
      <c r="L137" s="375"/>
      <c r="M137" s="543"/>
      <c r="N137" s="543"/>
      <c r="O137" s="543"/>
      <c r="P137" s="356"/>
      <c r="Q137" s="375"/>
      <c r="U137" s="373"/>
      <c r="V137" s="373"/>
      <c r="W137" s="373"/>
      <c r="X137" s="373"/>
      <c r="Y137" s="373"/>
      <c r="Z137" s="373"/>
      <c r="AA137" s="373"/>
      <c r="AB137" s="373"/>
      <c r="AC137" s="373"/>
      <c r="AD137" s="373"/>
      <c r="AE137" s="373"/>
      <c r="AF137" s="373"/>
      <c r="AG137" s="373"/>
      <c r="AH137" s="373"/>
      <c r="AI137" s="373"/>
      <c r="AJ137" s="373"/>
      <c r="AK137" s="373"/>
      <c r="AL137" s="373"/>
      <c r="AM137" s="373"/>
      <c r="AN137" s="373"/>
      <c r="AO137" s="373"/>
      <c r="AP137" s="373"/>
      <c r="AQ137" s="373"/>
      <c r="AR137" s="373"/>
      <c r="AS137" s="373"/>
      <c r="AT137" s="373"/>
      <c r="AU137" s="373"/>
      <c r="AV137" s="373"/>
      <c r="AW137" s="373"/>
      <c r="AX137" s="373"/>
      <c r="AY137" s="373"/>
      <c r="AZ137" s="373"/>
      <c r="BA137" s="373"/>
      <c r="BB137" s="373"/>
      <c r="BC137" s="373"/>
      <c r="BD137" s="373"/>
      <c r="BE137" s="373"/>
      <c r="BF137" s="373"/>
    </row>
    <row r="138" spans="1:58" s="374" customFormat="1" x14ac:dyDescent="0.15">
      <c r="A138" s="379"/>
      <c r="B138" s="379"/>
      <c r="C138" s="379"/>
      <c r="D138" s="379"/>
      <c r="E138" s="379"/>
      <c r="F138" s="378"/>
      <c r="G138" s="377"/>
      <c r="H138" s="539"/>
      <c r="I138" s="539"/>
      <c r="J138" s="539"/>
      <c r="K138" s="539"/>
      <c r="L138" s="375"/>
      <c r="M138" s="543"/>
      <c r="N138" s="543"/>
      <c r="O138" s="543"/>
      <c r="P138" s="356"/>
      <c r="Q138" s="375"/>
      <c r="R138" s="375"/>
      <c r="U138" s="373"/>
      <c r="V138" s="373"/>
      <c r="W138" s="373"/>
      <c r="X138" s="373"/>
      <c r="Y138" s="373"/>
      <c r="Z138" s="373"/>
      <c r="AA138" s="373"/>
      <c r="AB138" s="373"/>
      <c r="AC138" s="373"/>
      <c r="AD138" s="373"/>
      <c r="AE138" s="373"/>
      <c r="AF138" s="373"/>
      <c r="AG138" s="373"/>
      <c r="AH138" s="373"/>
      <c r="AI138" s="373"/>
      <c r="AJ138" s="373"/>
      <c r="AK138" s="373"/>
      <c r="AL138" s="373"/>
      <c r="AM138" s="373"/>
      <c r="AN138" s="373"/>
      <c r="AO138" s="373"/>
      <c r="AP138" s="373"/>
      <c r="AQ138" s="373"/>
      <c r="AR138" s="373"/>
      <c r="AS138" s="373"/>
      <c r="AT138" s="373"/>
      <c r="AU138" s="373"/>
      <c r="AV138" s="373"/>
      <c r="AW138" s="373"/>
      <c r="AX138" s="373"/>
      <c r="AY138" s="373"/>
      <c r="AZ138" s="373"/>
      <c r="BA138" s="373"/>
      <c r="BB138" s="373"/>
      <c r="BC138" s="373"/>
      <c r="BD138" s="373"/>
      <c r="BE138" s="373"/>
      <c r="BF138" s="373"/>
    </row>
    <row r="139" spans="1:58" s="374" customFormat="1" x14ac:dyDescent="0.15">
      <c r="A139" s="379"/>
      <c r="B139" s="379"/>
      <c r="C139" s="379"/>
      <c r="D139" s="379"/>
      <c r="E139" s="379"/>
      <c r="F139" s="378"/>
      <c r="G139" s="377"/>
      <c r="H139" s="539"/>
      <c r="I139" s="539"/>
      <c r="J139" s="539"/>
      <c r="K139" s="539"/>
      <c r="L139" s="375"/>
      <c r="M139" s="543"/>
      <c r="N139" s="543"/>
      <c r="O139" s="543"/>
      <c r="P139" s="356"/>
      <c r="Q139" s="375"/>
      <c r="U139" s="373"/>
      <c r="V139" s="373"/>
      <c r="W139" s="373"/>
      <c r="X139" s="373"/>
      <c r="Y139" s="373"/>
      <c r="Z139" s="373"/>
      <c r="AA139" s="373"/>
      <c r="AB139" s="373"/>
      <c r="AC139" s="373"/>
      <c r="AD139" s="373"/>
      <c r="AE139" s="373"/>
      <c r="AF139" s="373"/>
      <c r="AG139" s="373"/>
      <c r="AH139" s="373"/>
      <c r="AI139" s="373"/>
      <c r="AJ139" s="373"/>
      <c r="AK139" s="373"/>
      <c r="AL139" s="373"/>
      <c r="AM139" s="373"/>
      <c r="AN139" s="373"/>
      <c r="AO139" s="373"/>
      <c r="AP139" s="373"/>
      <c r="AQ139" s="373"/>
      <c r="AR139" s="373"/>
      <c r="AS139" s="373"/>
      <c r="AT139" s="373"/>
      <c r="AU139" s="373"/>
      <c r="AV139" s="373"/>
      <c r="AW139" s="373"/>
      <c r="AX139" s="373"/>
      <c r="AY139" s="373"/>
      <c r="AZ139" s="373"/>
      <c r="BA139" s="373"/>
      <c r="BB139" s="373"/>
      <c r="BC139" s="373"/>
      <c r="BD139" s="373"/>
      <c r="BE139" s="373"/>
      <c r="BF139" s="373"/>
    </row>
    <row r="140" spans="1:58" s="374" customFormat="1" x14ac:dyDescent="0.15">
      <c r="A140" s="379"/>
      <c r="B140" s="379"/>
      <c r="C140" s="379"/>
      <c r="D140" s="379"/>
      <c r="E140" s="379"/>
      <c r="F140" s="378"/>
      <c r="G140" s="377"/>
      <c r="H140" s="539"/>
      <c r="I140" s="539"/>
      <c r="J140" s="539"/>
      <c r="K140" s="539"/>
      <c r="L140" s="375"/>
      <c r="M140" s="543"/>
      <c r="N140" s="543"/>
      <c r="O140" s="543"/>
      <c r="P140" s="356"/>
      <c r="Q140" s="375"/>
      <c r="U140" s="373"/>
      <c r="V140" s="373"/>
      <c r="W140" s="373"/>
      <c r="X140" s="373"/>
      <c r="Y140" s="373"/>
      <c r="Z140" s="373"/>
      <c r="AA140" s="373"/>
      <c r="AB140" s="373"/>
      <c r="AC140" s="373"/>
      <c r="AD140" s="373"/>
      <c r="AE140" s="373"/>
      <c r="AF140" s="373"/>
      <c r="AG140" s="373"/>
      <c r="AH140" s="373"/>
      <c r="AI140" s="373"/>
      <c r="AJ140" s="373"/>
      <c r="AK140" s="373"/>
      <c r="AL140" s="373"/>
      <c r="AM140" s="373"/>
      <c r="AN140" s="373"/>
      <c r="AO140" s="373"/>
      <c r="AP140" s="373"/>
      <c r="AQ140" s="373"/>
      <c r="AR140" s="373"/>
      <c r="AS140" s="373"/>
      <c r="AT140" s="373"/>
      <c r="AU140" s="373"/>
      <c r="AV140" s="373"/>
      <c r="AW140" s="373"/>
      <c r="AX140" s="373"/>
      <c r="AY140" s="373"/>
      <c r="AZ140" s="373"/>
      <c r="BA140" s="373"/>
      <c r="BB140" s="373"/>
      <c r="BC140" s="373"/>
      <c r="BD140" s="373"/>
      <c r="BE140" s="373"/>
      <c r="BF140" s="373"/>
    </row>
    <row r="141" spans="1:58" s="374" customFormat="1" x14ac:dyDescent="0.15">
      <c r="A141" s="379"/>
      <c r="B141" s="379"/>
      <c r="C141" s="379"/>
      <c r="D141" s="379"/>
      <c r="E141" s="379"/>
      <c r="F141" s="378"/>
      <c r="G141" s="377"/>
      <c r="H141" s="536"/>
      <c r="I141" s="536"/>
      <c r="J141" s="536"/>
      <c r="K141" s="536"/>
      <c r="L141" s="375"/>
      <c r="M141" s="543"/>
      <c r="N141" s="543"/>
      <c r="O141" s="543"/>
      <c r="P141" s="356"/>
      <c r="Q141" s="375"/>
      <c r="U141" s="373"/>
      <c r="V141" s="373"/>
      <c r="W141" s="373"/>
      <c r="X141" s="373"/>
      <c r="Y141" s="373"/>
      <c r="Z141" s="373"/>
      <c r="AA141" s="373"/>
      <c r="AB141" s="373"/>
      <c r="AC141" s="373"/>
      <c r="AD141" s="373"/>
      <c r="AE141" s="373"/>
      <c r="AF141" s="373"/>
      <c r="AG141" s="373"/>
      <c r="AH141" s="373"/>
      <c r="AI141" s="373"/>
      <c r="AJ141" s="373"/>
      <c r="AK141" s="373"/>
      <c r="AL141" s="373"/>
      <c r="AM141" s="373"/>
      <c r="AN141" s="373"/>
      <c r="AO141" s="373"/>
      <c r="AP141" s="373"/>
      <c r="AQ141" s="373"/>
      <c r="AR141" s="373"/>
      <c r="AS141" s="373"/>
      <c r="AT141" s="373"/>
      <c r="AU141" s="373"/>
      <c r="AV141" s="373"/>
      <c r="AW141" s="373"/>
      <c r="AX141" s="373"/>
      <c r="AY141" s="373"/>
      <c r="AZ141" s="373"/>
      <c r="BA141" s="373"/>
      <c r="BB141" s="373"/>
      <c r="BC141" s="373"/>
      <c r="BD141" s="373"/>
      <c r="BE141" s="373"/>
      <c r="BF141" s="373"/>
    </row>
    <row r="142" spans="1:58" s="374" customFormat="1" x14ac:dyDescent="0.15">
      <c r="A142" s="379"/>
      <c r="B142" s="379"/>
      <c r="C142" s="379"/>
      <c r="D142" s="379"/>
      <c r="E142" s="379"/>
      <c r="F142" s="378"/>
      <c r="G142" s="377"/>
      <c r="H142" s="536"/>
      <c r="I142" s="536"/>
      <c r="J142" s="536"/>
      <c r="K142" s="536"/>
      <c r="L142" s="375"/>
      <c r="M142" s="543"/>
      <c r="N142" s="543"/>
      <c r="O142" s="543"/>
      <c r="P142" s="356"/>
      <c r="Q142" s="375"/>
      <c r="U142" s="373"/>
      <c r="V142" s="373"/>
      <c r="W142" s="373"/>
      <c r="X142" s="373"/>
      <c r="Y142" s="373"/>
      <c r="Z142" s="373"/>
      <c r="AA142" s="373"/>
      <c r="AB142" s="373"/>
      <c r="AC142" s="373"/>
      <c r="AD142" s="373"/>
      <c r="AE142" s="373"/>
      <c r="AF142" s="373"/>
      <c r="AG142" s="373"/>
      <c r="AH142" s="373"/>
      <c r="AI142" s="373"/>
      <c r="AJ142" s="373"/>
      <c r="AK142" s="373"/>
      <c r="AL142" s="373"/>
      <c r="AM142" s="373"/>
      <c r="AN142" s="373"/>
      <c r="AO142" s="373"/>
      <c r="AP142" s="373"/>
      <c r="AQ142" s="373"/>
      <c r="AR142" s="373"/>
      <c r="AS142" s="373"/>
      <c r="AT142" s="373"/>
      <c r="AU142" s="373"/>
      <c r="AV142" s="373"/>
      <c r="AW142" s="373"/>
      <c r="AX142" s="373"/>
      <c r="AY142" s="373"/>
      <c r="AZ142" s="373"/>
      <c r="BA142" s="373"/>
      <c r="BB142" s="373"/>
      <c r="BC142" s="373"/>
      <c r="BD142" s="373"/>
      <c r="BE142" s="373"/>
      <c r="BF142" s="373"/>
    </row>
    <row r="143" spans="1:58" s="374" customFormat="1" x14ac:dyDescent="0.15">
      <c r="A143" s="379"/>
      <c r="B143" s="379"/>
      <c r="C143" s="379"/>
      <c r="D143" s="379"/>
      <c r="E143" s="379"/>
      <c r="F143" s="378"/>
      <c r="G143" s="377"/>
      <c r="H143" s="536"/>
      <c r="I143" s="536"/>
      <c r="J143" s="536"/>
      <c r="K143" s="536"/>
      <c r="L143" s="375"/>
      <c r="M143" s="543"/>
      <c r="N143" s="543"/>
      <c r="O143" s="543"/>
      <c r="P143" s="356"/>
      <c r="Q143" s="375"/>
      <c r="U143" s="373"/>
      <c r="V143" s="373"/>
      <c r="W143" s="373"/>
      <c r="X143" s="373"/>
      <c r="Y143" s="373"/>
      <c r="Z143" s="373"/>
      <c r="AA143" s="373"/>
      <c r="AB143" s="373"/>
      <c r="AC143" s="373"/>
      <c r="AD143" s="373"/>
      <c r="AE143" s="373"/>
      <c r="AF143" s="373"/>
      <c r="AG143" s="373"/>
      <c r="AH143" s="373"/>
      <c r="AI143" s="373"/>
      <c r="AJ143" s="373"/>
      <c r="AK143" s="373"/>
      <c r="AL143" s="373"/>
      <c r="AM143" s="373"/>
      <c r="AN143" s="373"/>
      <c r="AO143" s="373"/>
      <c r="AP143" s="373"/>
      <c r="AQ143" s="373"/>
      <c r="AR143" s="373"/>
      <c r="AS143" s="373"/>
      <c r="AT143" s="373"/>
      <c r="AU143" s="373"/>
      <c r="AV143" s="373"/>
      <c r="AW143" s="373"/>
      <c r="AX143" s="373"/>
      <c r="AY143" s="373"/>
      <c r="AZ143" s="373"/>
      <c r="BA143" s="373"/>
      <c r="BB143" s="373"/>
      <c r="BC143" s="373"/>
      <c r="BD143" s="373"/>
      <c r="BE143" s="373"/>
      <c r="BF143" s="373"/>
    </row>
    <row r="144" spans="1:58" s="374" customFormat="1" x14ac:dyDescent="0.15">
      <c r="A144" s="379"/>
      <c r="B144" s="379"/>
      <c r="C144" s="379"/>
      <c r="D144" s="379"/>
      <c r="E144" s="379"/>
      <c r="F144" s="378"/>
      <c r="G144" s="377"/>
      <c r="H144" s="536"/>
      <c r="I144" s="536"/>
      <c r="J144" s="536"/>
      <c r="K144" s="536"/>
      <c r="L144" s="375"/>
      <c r="M144" s="543"/>
      <c r="N144" s="543"/>
      <c r="O144" s="543"/>
      <c r="P144" s="356"/>
      <c r="Q144" s="375"/>
      <c r="U144" s="373"/>
      <c r="V144" s="373"/>
      <c r="W144" s="373"/>
      <c r="X144" s="373"/>
      <c r="Y144" s="373"/>
      <c r="Z144" s="373"/>
      <c r="AA144" s="373"/>
      <c r="AB144" s="373"/>
      <c r="AC144" s="373"/>
      <c r="AD144" s="373"/>
      <c r="AE144" s="373"/>
      <c r="AF144" s="373"/>
      <c r="AG144" s="373"/>
      <c r="AH144" s="373"/>
      <c r="AI144" s="373"/>
      <c r="AJ144" s="373"/>
      <c r="AK144" s="373"/>
      <c r="AL144" s="373"/>
      <c r="AM144" s="373"/>
      <c r="AN144" s="373"/>
      <c r="AO144" s="373"/>
      <c r="AP144" s="373"/>
      <c r="AQ144" s="373"/>
      <c r="AR144" s="373"/>
      <c r="AS144" s="373"/>
      <c r="AT144" s="373"/>
      <c r="AU144" s="373"/>
      <c r="AV144" s="373"/>
      <c r="AW144" s="373"/>
      <c r="AX144" s="373"/>
      <c r="AY144" s="373"/>
      <c r="AZ144" s="373"/>
      <c r="BA144" s="373"/>
      <c r="BB144" s="373"/>
      <c r="BC144" s="373"/>
      <c r="BD144" s="373"/>
      <c r="BE144" s="373"/>
      <c r="BF144" s="373"/>
    </row>
    <row r="145" spans="1:58" s="374" customFormat="1" x14ac:dyDescent="0.15">
      <c r="A145" s="379"/>
      <c r="B145" s="379"/>
      <c r="C145" s="379"/>
      <c r="D145" s="379"/>
      <c r="E145" s="379"/>
      <c r="F145" s="378"/>
      <c r="G145" s="377"/>
      <c r="H145" s="536"/>
      <c r="I145" s="536"/>
      <c r="J145" s="536"/>
      <c r="K145" s="536"/>
      <c r="L145" s="375"/>
      <c r="M145" s="543"/>
      <c r="N145" s="543"/>
      <c r="O145" s="543"/>
      <c r="P145" s="356"/>
      <c r="Q145" s="375"/>
      <c r="U145" s="373"/>
      <c r="V145" s="373"/>
      <c r="W145" s="373"/>
      <c r="X145" s="373"/>
      <c r="Y145" s="373"/>
      <c r="Z145" s="373"/>
      <c r="AA145" s="373"/>
      <c r="AB145" s="373"/>
      <c r="AC145" s="373"/>
      <c r="AD145" s="373"/>
      <c r="AE145" s="373"/>
      <c r="AF145" s="373"/>
      <c r="AG145" s="373"/>
      <c r="AH145" s="373"/>
      <c r="AI145" s="373"/>
      <c r="AJ145" s="373"/>
      <c r="AK145" s="373"/>
      <c r="AL145" s="373"/>
      <c r="AM145" s="373"/>
      <c r="AN145" s="373"/>
      <c r="AO145" s="373"/>
      <c r="AP145" s="373"/>
      <c r="AQ145" s="373"/>
      <c r="AR145" s="373"/>
      <c r="AS145" s="373"/>
      <c r="AT145" s="373"/>
      <c r="AU145" s="373"/>
      <c r="AV145" s="373"/>
      <c r="AW145" s="373"/>
      <c r="AX145" s="373"/>
      <c r="AY145" s="373"/>
      <c r="AZ145" s="373"/>
      <c r="BA145" s="373"/>
      <c r="BB145" s="373"/>
      <c r="BC145" s="373"/>
      <c r="BD145" s="373"/>
      <c r="BE145" s="373"/>
      <c r="BF145" s="373"/>
    </row>
    <row r="146" spans="1:58" s="374" customFormat="1" x14ac:dyDescent="0.15">
      <c r="A146" s="379"/>
      <c r="B146" s="379"/>
      <c r="C146" s="379"/>
      <c r="D146" s="379"/>
      <c r="E146" s="379"/>
      <c r="F146" s="378"/>
      <c r="G146" s="377"/>
      <c r="H146" s="536"/>
      <c r="I146" s="536"/>
      <c r="J146" s="536"/>
      <c r="K146" s="536"/>
      <c r="L146" s="375"/>
      <c r="M146" s="543"/>
      <c r="N146" s="543"/>
      <c r="O146" s="543"/>
      <c r="P146" s="356"/>
      <c r="Q146" s="375"/>
      <c r="U146" s="373"/>
      <c r="V146" s="373"/>
      <c r="W146" s="373"/>
      <c r="X146" s="373"/>
      <c r="Y146" s="373"/>
      <c r="Z146" s="373"/>
      <c r="AA146" s="373"/>
      <c r="AB146" s="373"/>
      <c r="AC146" s="373"/>
      <c r="AD146" s="373"/>
      <c r="AE146" s="373"/>
      <c r="AF146" s="373"/>
      <c r="AG146" s="373"/>
      <c r="AH146" s="373"/>
      <c r="AI146" s="373"/>
      <c r="AJ146" s="373"/>
      <c r="AK146" s="373"/>
      <c r="AL146" s="373"/>
      <c r="AM146" s="373"/>
      <c r="AN146" s="373"/>
      <c r="AO146" s="373"/>
      <c r="AP146" s="373"/>
      <c r="AQ146" s="373"/>
      <c r="AR146" s="373"/>
      <c r="AS146" s="373"/>
      <c r="AT146" s="373"/>
      <c r="AU146" s="373"/>
      <c r="AV146" s="373"/>
      <c r="AW146" s="373"/>
      <c r="AX146" s="373"/>
      <c r="AY146" s="373"/>
      <c r="AZ146" s="373"/>
      <c r="BA146" s="373"/>
      <c r="BB146" s="373"/>
      <c r="BC146" s="373"/>
      <c r="BD146" s="373"/>
      <c r="BE146" s="373"/>
      <c r="BF146" s="373"/>
    </row>
    <row r="147" spans="1:58" x14ac:dyDescent="0.15">
      <c r="F147" s="421"/>
      <c r="G147" s="420"/>
      <c r="M147" s="543"/>
      <c r="N147" s="543"/>
      <c r="O147" s="543"/>
      <c r="P147" s="356"/>
    </row>
    <row r="148" spans="1:58" x14ac:dyDescent="0.15">
      <c r="F148" s="378"/>
      <c r="M148" s="543"/>
      <c r="N148" s="543"/>
      <c r="O148" s="543"/>
      <c r="P148" s="356"/>
    </row>
    <row r="149" spans="1:58" x14ac:dyDescent="0.15">
      <c r="F149" s="378"/>
      <c r="M149" s="543"/>
      <c r="N149" s="543"/>
      <c r="O149" s="543"/>
      <c r="P149" s="356"/>
    </row>
    <row r="150" spans="1:58" x14ac:dyDescent="0.15">
      <c r="F150" s="378"/>
      <c r="M150" s="543"/>
      <c r="N150" s="543"/>
      <c r="O150" s="543"/>
      <c r="P150" s="356"/>
    </row>
    <row r="151" spans="1:58" x14ac:dyDescent="0.15">
      <c r="F151" s="378"/>
      <c r="M151" s="543"/>
      <c r="N151" s="543"/>
      <c r="O151" s="543"/>
      <c r="P151" s="356"/>
    </row>
    <row r="152" spans="1:58" x14ac:dyDescent="0.15">
      <c r="F152" s="378"/>
      <c r="M152" s="543"/>
      <c r="N152" s="543"/>
      <c r="O152" s="543"/>
      <c r="P152" s="356"/>
    </row>
    <row r="153" spans="1:58" x14ac:dyDescent="0.15">
      <c r="F153" s="378"/>
      <c r="M153" s="543"/>
      <c r="N153" s="543"/>
      <c r="O153" s="543"/>
      <c r="P153" s="356"/>
    </row>
    <row r="154" spans="1:58" x14ac:dyDescent="0.15">
      <c r="F154" s="419"/>
      <c r="G154" s="418"/>
      <c r="M154" s="543"/>
      <c r="N154" s="543"/>
      <c r="O154" s="543"/>
      <c r="P154" s="356"/>
    </row>
    <row r="155" spans="1:58" x14ac:dyDescent="0.15">
      <c r="F155" s="378"/>
      <c r="M155" s="543"/>
      <c r="N155" s="543"/>
      <c r="O155" s="543"/>
      <c r="P155" s="356"/>
    </row>
    <row r="156" spans="1:58" x14ac:dyDescent="0.15">
      <c r="F156" s="378"/>
      <c r="M156" s="543"/>
      <c r="N156" s="543"/>
      <c r="O156" s="543"/>
      <c r="P156" s="356"/>
      <c r="R156" s="375"/>
    </row>
    <row r="157" spans="1:58" x14ac:dyDescent="0.15">
      <c r="F157" s="378"/>
      <c r="M157" s="543"/>
      <c r="N157" s="543"/>
      <c r="O157" s="543"/>
      <c r="P157" s="356"/>
    </row>
    <row r="158" spans="1:58" x14ac:dyDescent="0.15">
      <c r="F158" s="378"/>
      <c r="M158" s="543"/>
      <c r="N158" s="543"/>
      <c r="O158" s="543"/>
      <c r="P158" s="356"/>
    </row>
    <row r="159" spans="1:58" x14ac:dyDescent="0.15">
      <c r="F159" s="378"/>
      <c r="M159" s="543"/>
      <c r="N159" s="543"/>
      <c r="O159" s="543"/>
      <c r="P159" s="356"/>
    </row>
    <row r="160" spans="1:58" x14ac:dyDescent="0.15">
      <c r="F160" s="416"/>
      <c r="G160" s="415"/>
      <c r="M160" s="543"/>
      <c r="N160" s="543"/>
      <c r="O160" s="543"/>
      <c r="P160" s="356"/>
    </row>
    <row r="161" spans="1:58" x14ac:dyDescent="0.15">
      <c r="F161" s="416"/>
      <c r="G161" s="415"/>
      <c r="M161" s="543"/>
      <c r="N161" s="543"/>
      <c r="O161" s="543"/>
      <c r="P161" s="356"/>
    </row>
    <row r="162" spans="1:58" s="386" customFormat="1" x14ac:dyDescent="0.15">
      <c r="A162" s="388" t="s">
        <v>612</v>
      </c>
      <c r="B162" s="388"/>
      <c r="C162" s="388"/>
      <c r="D162" s="388"/>
      <c r="E162" s="388"/>
      <c r="F162" s="416"/>
      <c r="G162" s="415"/>
      <c r="H162" s="536"/>
      <c r="I162" s="536"/>
      <c r="J162" s="536"/>
      <c r="K162" s="536"/>
      <c r="L162" s="375"/>
      <c r="M162" s="543"/>
      <c r="N162" s="543"/>
      <c r="O162" s="543"/>
      <c r="P162" s="356"/>
      <c r="Q162" s="375"/>
      <c r="R162" s="387"/>
      <c r="S162" s="387"/>
      <c r="T162" s="387"/>
    </row>
    <row r="163" spans="1:58" s="375" customFormat="1" x14ac:dyDescent="0.15">
      <c r="A163" s="379"/>
      <c r="B163" s="379"/>
      <c r="C163" s="379"/>
      <c r="D163" s="379"/>
      <c r="E163" s="379"/>
      <c r="F163" s="416"/>
      <c r="G163" s="415"/>
      <c r="H163" s="536"/>
      <c r="I163" s="536"/>
      <c r="J163" s="536"/>
      <c r="K163" s="536"/>
      <c r="M163" s="543"/>
      <c r="N163" s="543"/>
      <c r="O163" s="543"/>
      <c r="P163" s="356"/>
      <c r="R163" s="374"/>
      <c r="S163" s="374"/>
      <c r="T163" s="374"/>
      <c r="U163" s="373"/>
      <c r="V163" s="373"/>
      <c r="W163" s="373"/>
      <c r="X163" s="373"/>
      <c r="Y163" s="373"/>
      <c r="Z163" s="373"/>
      <c r="AA163" s="373"/>
      <c r="AB163" s="373"/>
      <c r="AC163" s="373"/>
      <c r="AD163" s="373"/>
      <c r="AE163" s="373"/>
      <c r="AF163" s="373"/>
      <c r="AG163" s="373"/>
      <c r="AH163" s="373"/>
      <c r="AI163" s="373"/>
      <c r="AJ163" s="373"/>
      <c r="AK163" s="373"/>
      <c r="AL163" s="373"/>
      <c r="AM163" s="373"/>
      <c r="AN163" s="373"/>
      <c r="AO163" s="373"/>
      <c r="AP163" s="373"/>
      <c r="AQ163" s="373"/>
      <c r="AR163" s="373"/>
      <c r="AS163" s="373"/>
      <c r="AT163" s="373"/>
      <c r="AU163" s="373"/>
      <c r="AV163" s="373"/>
      <c r="AW163" s="373"/>
      <c r="AX163" s="373"/>
      <c r="AY163" s="373"/>
      <c r="AZ163" s="373"/>
      <c r="BA163" s="373"/>
      <c r="BB163" s="373"/>
      <c r="BC163" s="373"/>
      <c r="BD163" s="373"/>
      <c r="BE163" s="373"/>
      <c r="BF163" s="373"/>
    </row>
    <row r="164" spans="1:58" s="375" customFormat="1" x14ac:dyDescent="0.15">
      <c r="A164" s="417"/>
      <c r="B164" s="379"/>
      <c r="C164" s="379"/>
      <c r="D164" s="379"/>
      <c r="E164" s="379"/>
      <c r="F164" s="416"/>
      <c r="G164" s="415"/>
      <c r="H164" s="536"/>
      <c r="I164" s="536"/>
      <c r="J164" s="536"/>
      <c r="K164" s="536"/>
      <c r="M164" s="543"/>
      <c r="N164" s="543"/>
      <c r="O164" s="543"/>
      <c r="P164" s="356"/>
      <c r="R164" s="374"/>
      <c r="S164" s="374"/>
      <c r="T164" s="374"/>
      <c r="U164" s="373"/>
      <c r="V164" s="373"/>
      <c r="W164" s="373"/>
      <c r="X164" s="373"/>
      <c r="Y164" s="373"/>
      <c r="Z164" s="373"/>
      <c r="AA164" s="373"/>
      <c r="AB164" s="373"/>
      <c r="AC164" s="373"/>
      <c r="AD164" s="373"/>
      <c r="AE164" s="373"/>
      <c r="AF164" s="373"/>
      <c r="AG164" s="373"/>
      <c r="AH164" s="373"/>
      <c r="AI164" s="373"/>
      <c r="AJ164" s="373"/>
      <c r="AK164" s="373"/>
      <c r="AL164" s="373"/>
      <c r="AM164" s="373"/>
      <c r="AN164" s="373"/>
      <c r="AO164" s="373"/>
      <c r="AP164" s="373"/>
      <c r="AQ164" s="373"/>
      <c r="AR164" s="373"/>
      <c r="AS164" s="373"/>
      <c r="AT164" s="373"/>
      <c r="AU164" s="373"/>
      <c r="AV164" s="373"/>
      <c r="AW164" s="373"/>
      <c r="AX164" s="373"/>
      <c r="AY164" s="373"/>
      <c r="AZ164" s="373"/>
      <c r="BA164" s="373"/>
      <c r="BB164" s="373"/>
      <c r="BC164" s="373"/>
      <c r="BD164" s="373"/>
      <c r="BE164" s="373"/>
      <c r="BF164" s="373"/>
    </row>
    <row r="165" spans="1:58" x14ac:dyDescent="0.15">
      <c r="F165" s="378"/>
      <c r="M165" s="543"/>
      <c r="N165" s="543"/>
      <c r="O165" s="543"/>
      <c r="P165" s="356"/>
    </row>
    <row r="166" spans="1:58" x14ac:dyDescent="0.15">
      <c r="F166" s="378"/>
      <c r="M166" s="543"/>
      <c r="N166" s="543"/>
      <c r="O166" s="543"/>
      <c r="P166" s="356"/>
    </row>
    <row r="167" spans="1:58" x14ac:dyDescent="0.15">
      <c r="F167" s="378"/>
      <c r="M167" s="543"/>
      <c r="N167" s="543"/>
      <c r="O167" s="543"/>
      <c r="P167" s="356"/>
    </row>
    <row r="168" spans="1:58" x14ac:dyDescent="0.15">
      <c r="F168" s="378"/>
      <c r="M168" s="543"/>
      <c r="N168" s="543"/>
      <c r="O168" s="543"/>
      <c r="P168" s="356"/>
    </row>
    <row r="169" spans="1:58" x14ac:dyDescent="0.15">
      <c r="F169" s="378"/>
      <c r="M169" s="543"/>
      <c r="N169" s="543"/>
      <c r="O169" s="543"/>
      <c r="P169" s="356"/>
    </row>
    <row r="170" spans="1:58" x14ac:dyDescent="0.15">
      <c r="F170" s="378"/>
      <c r="M170" s="543"/>
      <c r="N170" s="543"/>
      <c r="O170" s="543"/>
      <c r="P170" s="356"/>
    </row>
    <row r="171" spans="1:58" x14ac:dyDescent="0.15">
      <c r="F171" s="378"/>
      <c r="M171" s="543"/>
      <c r="N171" s="543"/>
      <c r="O171" s="543"/>
      <c r="P171" s="356"/>
    </row>
    <row r="172" spans="1:58" x14ac:dyDescent="0.15">
      <c r="F172" s="378"/>
      <c r="M172" s="543"/>
      <c r="N172" s="543"/>
      <c r="O172" s="543"/>
      <c r="P172" s="356"/>
    </row>
    <row r="173" spans="1:58" x14ac:dyDescent="0.15">
      <c r="F173" s="378"/>
      <c r="M173" s="543"/>
      <c r="N173" s="543"/>
      <c r="O173" s="543"/>
      <c r="P173" s="356"/>
    </row>
    <row r="174" spans="1:58" x14ac:dyDescent="0.15">
      <c r="F174" s="378"/>
      <c r="M174" s="543"/>
      <c r="N174" s="543"/>
      <c r="O174" s="543"/>
      <c r="P174" s="356"/>
    </row>
    <row r="175" spans="1:58" x14ac:dyDescent="0.15">
      <c r="F175" s="378"/>
      <c r="M175" s="543"/>
      <c r="N175" s="543"/>
      <c r="O175" s="543"/>
      <c r="P175" s="356"/>
    </row>
    <row r="176" spans="1:58" x14ac:dyDescent="0.15">
      <c r="F176" s="378"/>
      <c r="M176" s="543"/>
      <c r="N176" s="543"/>
      <c r="O176" s="543"/>
      <c r="P176" s="356"/>
    </row>
    <row r="177" spans="6:16" x14ac:dyDescent="0.15">
      <c r="F177" s="378"/>
      <c r="M177" s="543"/>
      <c r="N177" s="543"/>
      <c r="O177" s="543"/>
      <c r="P177" s="356"/>
    </row>
    <row r="178" spans="6:16" x14ac:dyDescent="0.15">
      <c r="F178" s="378"/>
      <c r="M178" s="543"/>
      <c r="N178" s="543"/>
      <c r="O178" s="543"/>
      <c r="P178" s="356"/>
    </row>
    <row r="179" spans="6:16" x14ac:dyDescent="0.15">
      <c r="F179" s="378"/>
      <c r="M179" s="543"/>
      <c r="N179" s="543"/>
      <c r="O179" s="543"/>
      <c r="P179" s="356"/>
    </row>
    <row r="180" spans="6:16" x14ac:dyDescent="0.15">
      <c r="F180" s="378"/>
      <c r="M180" s="543"/>
      <c r="N180" s="543"/>
      <c r="O180" s="543"/>
      <c r="P180" s="356"/>
    </row>
    <row r="181" spans="6:16" x14ac:dyDescent="0.15">
      <c r="F181" s="378"/>
      <c r="M181" s="543"/>
      <c r="N181" s="543"/>
      <c r="O181" s="543"/>
      <c r="P181" s="356"/>
    </row>
    <row r="182" spans="6:16" x14ac:dyDescent="0.15">
      <c r="F182" s="378"/>
      <c r="M182" s="543"/>
      <c r="N182" s="543"/>
      <c r="O182" s="543"/>
      <c r="P182" s="356"/>
    </row>
    <row r="183" spans="6:16" x14ac:dyDescent="0.15">
      <c r="F183" s="378"/>
      <c r="M183" s="543"/>
      <c r="N183" s="543"/>
      <c r="O183" s="543"/>
      <c r="P183" s="356"/>
    </row>
    <row r="184" spans="6:16" x14ac:dyDescent="0.15">
      <c r="F184" s="378"/>
      <c r="M184" s="543"/>
      <c r="N184" s="543"/>
      <c r="O184" s="543"/>
      <c r="P184" s="356"/>
    </row>
    <row r="185" spans="6:16" x14ac:dyDescent="0.15">
      <c r="F185" s="378"/>
      <c r="M185" s="543"/>
      <c r="N185" s="543"/>
      <c r="O185" s="543"/>
      <c r="P185" s="356"/>
    </row>
    <row r="186" spans="6:16" x14ac:dyDescent="0.15">
      <c r="F186" s="378"/>
      <c r="M186" s="543"/>
      <c r="N186" s="543"/>
      <c r="O186" s="543"/>
      <c r="P186" s="356"/>
    </row>
    <row r="187" spans="6:16" x14ac:dyDescent="0.15">
      <c r="F187" s="378"/>
      <c r="M187" s="543"/>
      <c r="N187" s="543"/>
      <c r="O187" s="543"/>
      <c r="P187" s="356"/>
    </row>
    <row r="188" spans="6:16" x14ac:dyDescent="0.15">
      <c r="F188" s="378"/>
      <c r="M188" s="543"/>
      <c r="N188" s="543"/>
      <c r="O188" s="543"/>
      <c r="P188" s="356"/>
    </row>
    <row r="189" spans="6:16" x14ac:dyDescent="0.15">
      <c r="F189" s="378"/>
      <c r="M189" s="543"/>
      <c r="N189" s="543"/>
      <c r="O189" s="543"/>
      <c r="P189" s="356"/>
    </row>
    <row r="190" spans="6:16" x14ac:dyDescent="0.15">
      <c r="F190" s="378"/>
      <c r="M190" s="543"/>
      <c r="N190" s="543"/>
      <c r="O190" s="543"/>
      <c r="P190" s="356"/>
    </row>
    <row r="191" spans="6:16" x14ac:dyDescent="0.15">
      <c r="F191" s="378"/>
      <c r="M191" s="543"/>
      <c r="N191" s="543"/>
      <c r="O191" s="543"/>
      <c r="P191" s="356"/>
    </row>
    <row r="192" spans="6:16" x14ac:dyDescent="0.15">
      <c r="F192" s="378"/>
      <c r="M192" s="543"/>
      <c r="N192" s="543"/>
      <c r="O192" s="543"/>
      <c r="P192" s="356"/>
    </row>
    <row r="193" spans="6:16" x14ac:dyDescent="0.15">
      <c r="F193" s="378"/>
      <c r="M193" s="543"/>
      <c r="N193" s="543"/>
      <c r="O193" s="543"/>
      <c r="P193" s="356"/>
    </row>
    <row r="194" spans="6:16" x14ac:dyDescent="0.15">
      <c r="F194" s="378"/>
      <c r="M194" s="543"/>
      <c r="N194" s="543"/>
      <c r="O194" s="543"/>
      <c r="P194" s="356"/>
    </row>
    <row r="195" spans="6:16" x14ac:dyDescent="0.15">
      <c r="F195" s="378"/>
      <c r="M195" s="543"/>
      <c r="N195" s="543"/>
      <c r="O195" s="543"/>
      <c r="P195" s="356"/>
    </row>
    <row r="196" spans="6:16" x14ac:dyDescent="0.15">
      <c r="F196" s="378"/>
      <c r="P196" s="356"/>
    </row>
    <row r="197" spans="6:16" x14ac:dyDescent="0.15">
      <c r="F197" s="378"/>
      <c r="P197" s="356"/>
    </row>
    <row r="198" spans="6:16" x14ac:dyDescent="0.15">
      <c r="F198" s="378"/>
      <c r="P198" s="356"/>
    </row>
    <row r="199" spans="6:16" x14ac:dyDescent="0.15">
      <c r="F199" s="378"/>
      <c r="P199" s="356"/>
    </row>
    <row r="200" spans="6:16" x14ac:dyDescent="0.15">
      <c r="F200" s="378"/>
      <c r="P200" s="356"/>
    </row>
    <row r="201" spans="6:16" x14ac:dyDescent="0.15">
      <c r="F201" s="378"/>
      <c r="P201" s="356"/>
    </row>
    <row r="202" spans="6:16" x14ac:dyDescent="0.15">
      <c r="F202" s="378"/>
      <c r="P202" s="356"/>
    </row>
    <row r="203" spans="6:16" x14ac:dyDescent="0.15">
      <c r="F203" s="378"/>
      <c r="P203" s="356"/>
    </row>
    <row r="204" spans="6:16" x14ac:dyDescent="0.15">
      <c r="F204" s="378"/>
      <c r="P204" s="356"/>
    </row>
    <row r="205" spans="6:16" x14ac:dyDescent="0.15">
      <c r="F205" s="378"/>
      <c r="P205" s="356"/>
    </row>
    <row r="206" spans="6:16" x14ac:dyDescent="0.15">
      <c r="F206" s="378"/>
      <c r="P206" s="356"/>
    </row>
    <row r="207" spans="6:16" x14ac:dyDescent="0.15">
      <c r="F207" s="378"/>
      <c r="P207" s="356"/>
    </row>
    <row r="208" spans="6:16" x14ac:dyDescent="0.15">
      <c r="F208" s="378"/>
      <c r="P208" s="356"/>
    </row>
    <row r="209" spans="6:16" x14ac:dyDescent="0.15">
      <c r="F209" s="378"/>
      <c r="P209" s="356"/>
    </row>
    <row r="210" spans="6:16" x14ac:dyDescent="0.15">
      <c r="F210" s="378"/>
      <c r="P210" s="356"/>
    </row>
    <row r="211" spans="6:16" x14ac:dyDescent="0.15">
      <c r="F211" s="378"/>
      <c r="P211" s="356"/>
    </row>
    <row r="212" spans="6:16" x14ac:dyDescent="0.15">
      <c r="F212" s="378"/>
      <c r="P212" s="356"/>
    </row>
    <row r="213" spans="6:16" x14ac:dyDescent="0.15">
      <c r="F213" s="378"/>
      <c r="P213" s="356"/>
    </row>
    <row r="214" spans="6:16" x14ac:dyDescent="0.15">
      <c r="F214" s="378"/>
      <c r="P214" s="356"/>
    </row>
    <row r="215" spans="6:16" x14ac:dyDescent="0.15">
      <c r="F215" s="378"/>
      <c r="P215" s="356"/>
    </row>
    <row r="216" spans="6:16" x14ac:dyDescent="0.15">
      <c r="F216" s="378"/>
      <c r="P216" s="356"/>
    </row>
    <row r="217" spans="6:16" x14ac:dyDescent="0.15">
      <c r="F217" s="378"/>
      <c r="P217" s="356"/>
    </row>
    <row r="218" spans="6:16" x14ac:dyDescent="0.15">
      <c r="F218" s="378"/>
      <c r="P218" s="356"/>
    </row>
    <row r="219" spans="6:16" x14ac:dyDescent="0.15">
      <c r="F219" s="378"/>
      <c r="P219" s="356"/>
    </row>
    <row r="220" spans="6:16" x14ac:dyDescent="0.15">
      <c r="F220" s="378"/>
      <c r="P220" s="356"/>
    </row>
    <row r="221" spans="6:16" x14ac:dyDescent="0.15">
      <c r="F221" s="378"/>
      <c r="P221" s="356"/>
    </row>
    <row r="222" spans="6:16" x14ac:dyDescent="0.15">
      <c r="F222" s="378"/>
      <c r="P222" s="356"/>
    </row>
    <row r="223" spans="6:16" x14ac:dyDescent="0.15">
      <c r="F223" s="378"/>
      <c r="P223" s="356"/>
    </row>
    <row r="224" spans="6:16" x14ac:dyDescent="0.15">
      <c r="F224" s="378"/>
      <c r="P224" s="356"/>
    </row>
    <row r="225" spans="6:16" x14ac:dyDescent="0.15">
      <c r="F225" s="378"/>
      <c r="P225" s="356"/>
    </row>
    <row r="226" spans="6:16" x14ac:dyDescent="0.15">
      <c r="F226" s="378"/>
      <c r="P226" s="356"/>
    </row>
    <row r="227" spans="6:16" x14ac:dyDescent="0.15">
      <c r="F227" s="378"/>
      <c r="P227" s="356"/>
    </row>
    <row r="228" spans="6:16" x14ac:dyDescent="0.15">
      <c r="F228" s="378"/>
      <c r="P228" s="356"/>
    </row>
    <row r="229" spans="6:16" x14ac:dyDescent="0.15">
      <c r="F229" s="378"/>
      <c r="P229" s="356"/>
    </row>
    <row r="230" spans="6:16" x14ac:dyDescent="0.15">
      <c r="F230" s="378"/>
      <c r="P230" s="356"/>
    </row>
    <row r="231" spans="6:16" x14ac:dyDescent="0.15">
      <c r="F231" s="378"/>
      <c r="P231" s="356"/>
    </row>
    <row r="232" spans="6:16" x14ac:dyDescent="0.15">
      <c r="F232" s="378"/>
      <c r="P232" s="356"/>
    </row>
    <row r="233" spans="6:16" x14ac:dyDescent="0.15">
      <c r="F233" s="378"/>
    </row>
    <row r="234" spans="6:16" x14ac:dyDescent="0.15">
      <c r="F234" s="378"/>
    </row>
    <row r="235" spans="6:16" x14ac:dyDescent="0.15">
      <c r="F235" s="378"/>
    </row>
    <row r="236" spans="6:16" x14ac:dyDescent="0.15">
      <c r="F236" s="378"/>
    </row>
    <row r="237" spans="6:16" x14ac:dyDescent="0.15">
      <c r="F237" s="378"/>
    </row>
    <row r="238" spans="6:16" x14ac:dyDescent="0.15">
      <c r="F238" s="378"/>
    </row>
    <row r="239" spans="6:16" x14ac:dyDescent="0.15">
      <c r="F239" s="378"/>
    </row>
    <row r="240" spans="6:16" x14ac:dyDescent="0.15">
      <c r="F240" s="378"/>
    </row>
    <row r="241" spans="6:6" x14ac:dyDescent="0.15">
      <c r="F241" s="378"/>
    </row>
    <row r="242" spans="6:6" x14ac:dyDescent="0.15">
      <c r="F242" s="378"/>
    </row>
    <row r="243" spans="6:6" x14ac:dyDescent="0.15">
      <c r="F243" s="378"/>
    </row>
    <row r="244" spans="6:6" x14ac:dyDescent="0.15">
      <c r="F244" s="378"/>
    </row>
    <row r="245" spans="6:6" x14ac:dyDescent="0.15">
      <c r="F245" s="378"/>
    </row>
    <row r="246" spans="6:6" x14ac:dyDescent="0.15">
      <c r="F246" s="378"/>
    </row>
    <row r="247" spans="6:6" x14ac:dyDescent="0.15">
      <c r="F247" s="378"/>
    </row>
    <row r="248" spans="6:6" x14ac:dyDescent="0.15">
      <c r="F248" s="378"/>
    </row>
    <row r="249" spans="6:6" x14ac:dyDescent="0.15">
      <c r="F249" s="378"/>
    </row>
    <row r="250" spans="6:6" x14ac:dyDescent="0.15">
      <c r="F250" s="378"/>
    </row>
    <row r="251" spans="6:6" x14ac:dyDescent="0.15">
      <c r="F251" s="378"/>
    </row>
    <row r="252" spans="6:6" x14ac:dyDescent="0.15">
      <c r="F252" s="378"/>
    </row>
    <row r="253" spans="6:6" x14ac:dyDescent="0.15">
      <c r="F253" s="378"/>
    </row>
    <row r="254" spans="6:6" x14ac:dyDescent="0.15">
      <c r="F254" s="378"/>
    </row>
    <row r="255" spans="6:6" x14ac:dyDescent="0.15">
      <c r="F255" s="378"/>
    </row>
    <row r="256" spans="6:6" x14ac:dyDescent="0.15">
      <c r="F256" s="378"/>
    </row>
    <row r="257" spans="6:6" x14ac:dyDescent="0.15">
      <c r="F257" s="378"/>
    </row>
    <row r="258" spans="6:6" x14ac:dyDescent="0.15">
      <c r="F258" s="378"/>
    </row>
    <row r="259" spans="6:6" x14ac:dyDescent="0.15">
      <c r="F259" s="378"/>
    </row>
    <row r="260" spans="6:6" x14ac:dyDescent="0.15">
      <c r="F260" s="378"/>
    </row>
    <row r="261" spans="6:6" x14ac:dyDescent="0.15">
      <c r="F261" s="378"/>
    </row>
    <row r="262" spans="6:6" x14ac:dyDescent="0.15">
      <c r="F262" s="378"/>
    </row>
    <row r="263" spans="6:6" x14ac:dyDescent="0.15">
      <c r="F263" s="378"/>
    </row>
    <row r="264" spans="6:6" x14ac:dyDescent="0.15">
      <c r="F264" s="378"/>
    </row>
    <row r="265" spans="6:6" x14ac:dyDescent="0.15">
      <c r="F265" s="378"/>
    </row>
    <row r="266" spans="6:6" x14ac:dyDescent="0.15">
      <c r="F266" s="378"/>
    </row>
    <row r="267" spans="6:6" x14ac:dyDescent="0.15">
      <c r="F267" s="378"/>
    </row>
    <row r="268" spans="6:6" x14ac:dyDescent="0.15">
      <c r="F268" s="378"/>
    </row>
    <row r="269" spans="6:6" x14ac:dyDescent="0.15">
      <c r="F269" s="378"/>
    </row>
    <row r="270" spans="6:6" x14ac:dyDescent="0.15">
      <c r="F270" s="378"/>
    </row>
    <row r="271" spans="6:6" x14ac:dyDescent="0.15">
      <c r="F271" s="378"/>
    </row>
    <row r="272" spans="6:6" x14ac:dyDescent="0.15">
      <c r="F272" s="378"/>
    </row>
    <row r="273" spans="6:6" x14ac:dyDescent="0.15">
      <c r="F273" s="378"/>
    </row>
    <row r="274" spans="6:6" x14ac:dyDescent="0.15">
      <c r="F274" s="378"/>
    </row>
    <row r="275" spans="6:6" x14ac:dyDescent="0.15">
      <c r="F275" s="378"/>
    </row>
    <row r="276" spans="6:6" x14ac:dyDescent="0.15">
      <c r="F276" s="378"/>
    </row>
    <row r="277" spans="6:6" x14ac:dyDescent="0.15">
      <c r="F277" s="378"/>
    </row>
    <row r="278" spans="6:6" x14ac:dyDescent="0.15">
      <c r="F278" s="378"/>
    </row>
    <row r="279" spans="6:6" x14ac:dyDescent="0.15">
      <c r="F279" s="378"/>
    </row>
    <row r="280" spans="6:6" x14ac:dyDescent="0.15">
      <c r="F280" s="378"/>
    </row>
    <row r="281" spans="6:6" x14ac:dyDescent="0.15">
      <c r="F281" s="378"/>
    </row>
    <row r="282" spans="6:6" x14ac:dyDescent="0.15">
      <c r="F282" s="378"/>
    </row>
    <row r="283" spans="6:6" x14ac:dyDescent="0.15">
      <c r="F283" s="378"/>
    </row>
    <row r="284" spans="6:6" x14ac:dyDescent="0.15">
      <c r="F284" s="378"/>
    </row>
    <row r="285" spans="6:6" x14ac:dyDescent="0.15">
      <c r="F285" s="378"/>
    </row>
    <row r="286" spans="6:6" x14ac:dyDescent="0.15">
      <c r="F286" s="378"/>
    </row>
    <row r="287" spans="6:6" x14ac:dyDescent="0.15">
      <c r="F287" s="378"/>
    </row>
    <row r="288" spans="6:6" x14ac:dyDescent="0.15">
      <c r="F288" s="378"/>
    </row>
    <row r="289" spans="6:6" x14ac:dyDescent="0.15">
      <c r="F289" s="378"/>
    </row>
    <row r="290" spans="6:6" x14ac:dyDescent="0.15">
      <c r="F290" s="378"/>
    </row>
    <row r="291" spans="6:6" x14ac:dyDescent="0.15">
      <c r="F291" s="378"/>
    </row>
    <row r="292" spans="6:6" x14ac:dyDescent="0.15">
      <c r="F292" s="378"/>
    </row>
    <row r="293" spans="6:6" x14ac:dyDescent="0.15">
      <c r="F293" s="378"/>
    </row>
    <row r="294" spans="6:6" x14ac:dyDescent="0.15">
      <c r="F294" s="378"/>
    </row>
    <row r="295" spans="6:6" x14ac:dyDescent="0.15">
      <c r="F295" s="378"/>
    </row>
    <row r="296" spans="6:6" x14ac:dyDescent="0.15">
      <c r="F296" s="378"/>
    </row>
    <row r="297" spans="6:6" x14ac:dyDescent="0.15">
      <c r="F297" s="378"/>
    </row>
    <row r="298" spans="6:6" x14ac:dyDescent="0.15">
      <c r="F298" s="378"/>
    </row>
    <row r="299" spans="6:6" x14ac:dyDescent="0.15">
      <c r="F299" s="378"/>
    </row>
    <row r="300" spans="6:6" x14ac:dyDescent="0.15">
      <c r="F300" s="378"/>
    </row>
    <row r="301" spans="6:6" x14ac:dyDescent="0.15">
      <c r="F301" s="378"/>
    </row>
    <row r="302" spans="6:6" x14ac:dyDescent="0.15">
      <c r="F302" s="378"/>
    </row>
    <row r="303" spans="6:6" x14ac:dyDescent="0.15">
      <c r="F303" s="378"/>
    </row>
    <row r="304" spans="6:6" x14ac:dyDescent="0.15">
      <c r="F304" s="378"/>
    </row>
    <row r="305" spans="6:6" x14ac:dyDescent="0.15">
      <c r="F305" s="378"/>
    </row>
    <row r="306" spans="6:6" x14ac:dyDescent="0.15">
      <c r="F306" s="378"/>
    </row>
    <row r="307" spans="6:6" x14ac:dyDescent="0.15">
      <c r="F307" s="378"/>
    </row>
    <row r="308" spans="6:6" x14ac:dyDescent="0.15">
      <c r="F308" s="378"/>
    </row>
    <row r="309" spans="6:6" x14ac:dyDescent="0.15">
      <c r="F309" s="378"/>
    </row>
    <row r="310" spans="6:6" x14ac:dyDescent="0.15">
      <c r="F310" s="378"/>
    </row>
    <row r="311" spans="6:6" x14ac:dyDescent="0.15">
      <c r="F311" s="378"/>
    </row>
    <row r="312" spans="6:6" x14ac:dyDescent="0.15">
      <c r="F312" s="378"/>
    </row>
    <row r="313" spans="6:6" x14ac:dyDescent="0.15">
      <c r="F313" s="378"/>
    </row>
    <row r="314" spans="6:6" x14ac:dyDescent="0.15">
      <c r="F314" s="378"/>
    </row>
    <row r="315" spans="6:6" x14ac:dyDescent="0.15">
      <c r="F315" s="378"/>
    </row>
    <row r="316" spans="6:6" x14ac:dyDescent="0.15">
      <c r="F316" s="378"/>
    </row>
    <row r="317" spans="6:6" x14ac:dyDescent="0.15">
      <c r="F317" s="378"/>
    </row>
    <row r="318" spans="6:6" x14ac:dyDescent="0.15">
      <c r="F318" s="378"/>
    </row>
    <row r="319" spans="6:6" x14ac:dyDescent="0.15">
      <c r="F319" s="378"/>
    </row>
    <row r="320" spans="6:6" x14ac:dyDescent="0.15">
      <c r="F320" s="378"/>
    </row>
    <row r="321" spans="6:6" x14ac:dyDescent="0.15">
      <c r="F321" s="378"/>
    </row>
    <row r="322" spans="6:6" x14ac:dyDescent="0.15">
      <c r="F322" s="378"/>
    </row>
    <row r="323" spans="6:6" x14ac:dyDescent="0.15">
      <c r="F323" s="378"/>
    </row>
    <row r="324" spans="6:6" x14ac:dyDescent="0.15">
      <c r="F324" s="378"/>
    </row>
    <row r="325" spans="6:6" x14ac:dyDescent="0.15">
      <c r="F325" s="378"/>
    </row>
    <row r="326" spans="6:6" x14ac:dyDescent="0.15">
      <c r="F326" s="378"/>
    </row>
    <row r="327" spans="6:6" x14ac:dyDescent="0.15">
      <c r="F327" s="378"/>
    </row>
    <row r="328" spans="6:6" x14ac:dyDescent="0.15">
      <c r="F328" s="378"/>
    </row>
    <row r="329" spans="6:6" x14ac:dyDescent="0.15">
      <c r="F329" s="378"/>
    </row>
    <row r="330" spans="6:6" x14ac:dyDescent="0.15">
      <c r="F330" s="378"/>
    </row>
    <row r="331" spans="6:6" x14ac:dyDescent="0.15">
      <c r="F331" s="378"/>
    </row>
  </sheetData>
  <pageMargins left="0.7" right="0.7" top="0.75" bottom="0.75" header="0.3" footer="0.3"/>
  <pageSetup orientation="portrait"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77"/>
  <sheetViews>
    <sheetView workbookViewId="0">
      <pane ySplit="3" topLeftCell="A4" activePane="bottomLeft" state="frozen"/>
      <selection pane="bottomLeft" activeCell="M24" sqref="M24"/>
    </sheetView>
  </sheetViews>
  <sheetFormatPr baseColWidth="10" defaultColWidth="9.1640625" defaultRowHeight="12" x14ac:dyDescent="0.15"/>
  <cols>
    <col min="1" max="1" width="19.33203125" style="6" customWidth="1"/>
    <col min="2" max="2" width="12.83203125" style="6" customWidth="1"/>
    <col min="3" max="3" width="23.33203125" style="6" customWidth="1"/>
    <col min="4" max="4" width="18.5" style="6" customWidth="1"/>
    <col min="5" max="5" width="17.1640625" style="6" customWidth="1"/>
    <col min="6" max="6" width="10.33203125" style="101" customWidth="1"/>
    <col min="7" max="7" width="10.33203125" style="102" customWidth="1"/>
    <col min="8" max="8" width="4.1640625" style="75" customWidth="1"/>
    <col min="9" max="11" width="3.5" style="75" customWidth="1"/>
    <col min="12" max="12" width="9.5" style="21" customWidth="1"/>
    <col min="13" max="13" width="9.6640625" style="21" customWidth="1"/>
    <col min="14" max="15" width="6.5" style="21" customWidth="1"/>
    <col min="16" max="16" width="12.6640625" style="7" customWidth="1"/>
    <col min="17" max="17" width="9.5" style="75" customWidth="1"/>
    <col min="18" max="18" width="9.1640625" style="6"/>
    <col min="19" max="19" width="2.6640625" style="14" customWidth="1"/>
    <col min="20" max="20" width="9.1640625" style="14"/>
    <col min="21" max="21" width="11.5" style="13" customWidth="1"/>
    <col min="22" max="22" width="9.1640625" style="13"/>
    <col min="23" max="23" width="2.6640625" style="13" customWidth="1"/>
    <col min="24" max="16384" width="9.1640625" style="13"/>
  </cols>
  <sheetData>
    <row r="1" spans="1:56" ht="12" customHeight="1" x14ac:dyDescent="0.15">
      <c r="A1" s="6" t="s">
        <v>2435</v>
      </c>
    </row>
    <row r="2" spans="1:56" ht="12" customHeight="1" x14ac:dyDescent="0.15">
      <c r="A2" s="72"/>
      <c r="F2" s="73"/>
      <c r="G2" s="74" t="s">
        <v>436</v>
      </c>
      <c r="K2" s="76"/>
      <c r="L2" s="74" t="s">
        <v>624</v>
      </c>
      <c r="M2" s="74"/>
      <c r="N2" s="74"/>
      <c r="O2" s="74"/>
      <c r="P2" s="36"/>
      <c r="Q2" s="7"/>
      <c r="R2" s="7"/>
      <c r="U2" s="38"/>
      <c r="AC2" s="77"/>
    </row>
    <row r="3" spans="1:56" s="84" customFormat="1" ht="44" customHeight="1" thickBot="1" x14ac:dyDescent="0.2">
      <c r="A3" s="78" t="s">
        <v>720</v>
      </c>
      <c r="B3" s="78" t="s">
        <v>710</v>
      </c>
      <c r="C3" s="78" t="s">
        <v>844</v>
      </c>
      <c r="D3" s="78" t="s">
        <v>670</v>
      </c>
      <c r="E3" s="78" t="s">
        <v>310</v>
      </c>
      <c r="F3" s="79" t="s">
        <v>845</v>
      </c>
      <c r="G3" s="80" t="s">
        <v>635</v>
      </c>
      <c r="H3" s="81" t="s">
        <v>392</v>
      </c>
      <c r="I3" s="81" t="s">
        <v>393</v>
      </c>
      <c r="J3" s="81" t="s">
        <v>394</v>
      </c>
      <c r="K3" s="81" t="s">
        <v>395</v>
      </c>
      <c r="L3" s="82" t="s">
        <v>647</v>
      </c>
      <c r="M3" s="82" t="s">
        <v>1977</v>
      </c>
      <c r="N3" s="190" t="s">
        <v>2301</v>
      </c>
      <c r="O3" s="190" t="s">
        <v>2302</v>
      </c>
      <c r="P3" s="341" t="s">
        <v>120</v>
      </c>
      <c r="Q3" s="81" t="s">
        <v>1242</v>
      </c>
      <c r="R3" s="78" t="s">
        <v>669</v>
      </c>
      <c r="S3" s="83"/>
      <c r="T3" s="83"/>
    </row>
    <row r="4" spans="1:56" s="140" customFormat="1" ht="12" customHeight="1" thickTop="1" x14ac:dyDescent="0.15">
      <c r="A4" s="58" t="s">
        <v>3629</v>
      </c>
      <c r="B4" s="58" t="s">
        <v>2165</v>
      </c>
      <c r="C4" s="58" t="s">
        <v>846</v>
      </c>
      <c r="D4" s="58" t="s">
        <v>927</v>
      </c>
      <c r="E4" s="58" t="s">
        <v>1335</v>
      </c>
      <c r="F4" s="137">
        <v>41691</v>
      </c>
      <c r="G4" s="138"/>
      <c r="H4" s="139">
        <v>3</v>
      </c>
      <c r="I4" s="139">
        <v>1</v>
      </c>
      <c r="J4" s="139">
        <v>0</v>
      </c>
      <c r="K4" s="139">
        <v>0</v>
      </c>
      <c r="L4" s="191">
        <f>990+780+9120</f>
        <v>10890</v>
      </c>
      <c r="M4" s="191">
        <f t="shared" ref="M4" si="0">IF(H4="","--",L4/H4)</f>
        <v>3630</v>
      </c>
      <c r="N4" s="330">
        <f t="shared" ref="N4" si="1">IF(H4="","--",I4/H4)</f>
        <v>0.33333333333333331</v>
      </c>
      <c r="O4" s="330">
        <f t="shared" ref="O4" si="2">IF(H4="","--",SUM(I4:K4)/H4)</f>
        <v>0.33333333333333331</v>
      </c>
      <c r="P4" s="56" t="s">
        <v>5739</v>
      </c>
      <c r="Q4" s="56"/>
      <c r="R4" s="58" t="s">
        <v>3609</v>
      </c>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BA4" s="441"/>
      <c r="BD4" s="141"/>
    </row>
    <row r="5" spans="1:56" s="140" customFormat="1" ht="12" customHeight="1" x14ac:dyDescent="0.15">
      <c r="A5" s="58" t="s">
        <v>3099</v>
      </c>
      <c r="B5" s="58" t="s">
        <v>23</v>
      </c>
      <c r="C5" s="58" t="s">
        <v>2052</v>
      </c>
      <c r="D5" s="58" t="s">
        <v>898</v>
      </c>
      <c r="E5" s="58" t="s">
        <v>2344</v>
      </c>
      <c r="F5" s="137">
        <v>41743</v>
      </c>
      <c r="G5" s="138">
        <v>15000</v>
      </c>
      <c r="H5" s="139">
        <v>3</v>
      </c>
      <c r="I5" s="139">
        <v>1</v>
      </c>
      <c r="J5" s="139">
        <v>0</v>
      </c>
      <c r="K5" s="139">
        <v>0</v>
      </c>
      <c r="L5" s="191">
        <f>990+1980+13110</f>
        <v>16080</v>
      </c>
      <c r="M5" s="191">
        <f t="shared" ref="M5" si="3">IF(H5="","--",L5/H5)</f>
        <v>5360</v>
      </c>
      <c r="N5" s="330">
        <f t="shared" ref="N5" si="4">IF(H5="","--",I5/H5)</f>
        <v>0.33333333333333331</v>
      </c>
      <c r="O5" s="330">
        <f t="shared" ref="O5" si="5">IF(H5="","--",SUM(I5:K5)/H5)</f>
        <v>0.33333333333333331</v>
      </c>
      <c r="P5" s="56" t="s">
        <v>5633</v>
      </c>
      <c r="Q5" s="56"/>
      <c r="R5" s="58" t="s">
        <v>3484</v>
      </c>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BA5" s="441"/>
      <c r="BD5" s="141"/>
    </row>
    <row r="6" spans="1:56" s="140" customFormat="1" ht="12" customHeight="1" x14ac:dyDescent="0.15">
      <c r="A6" s="58" t="s">
        <v>2484</v>
      </c>
      <c r="B6" s="58" t="s">
        <v>1895</v>
      </c>
      <c r="C6" s="58" t="s">
        <v>2485</v>
      </c>
      <c r="D6" s="58" t="s">
        <v>2486</v>
      </c>
      <c r="E6" s="58" t="s">
        <v>2508</v>
      </c>
      <c r="F6" s="137">
        <v>41769</v>
      </c>
      <c r="G6" s="138"/>
      <c r="H6" s="139">
        <v>2</v>
      </c>
      <c r="I6" s="139">
        <v>1</v>
      </c>
      <c r="J6" s="139">
        <v>0</v>
      </c>
      <c r="K6" s="139">
        <v>0</v>
      </c>
      <c r="L6" s="191">
        <f>660+11400</f>
        <v>12060</v>
      </c>
      <c r="M6" s="191">
        <f>IF(H6="","--",L6/H6)</f>
        <v>6030</v>
      </c>
      <c r="N6" s="330">
        <f>IF(H6="","--",I6/H6)</f>
        <v>0.5</v>
      </c>
      <c r="O6" s="330">
        <f>IF(H6="","--",SUM(I6:K6)/H6)</f>
        <v>0.5</v>
      </c>
      <c r="P6" s="56" t="s">
        <v>5579</v>
      </c>
      <c r="Q6" s="56"/>
      <c r="R6" s="58"/>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BA6" s="441"/>
      <c r="BD6" s="141"/>
    </row>
    <row r="7" spans="1:56" s="90" customFormat="1" ht="12" customHeight="1" x14ac:dyDescent="0.15">
      <c r="A7" s="142" t="s">
        <v>3607</v>
      </c>
      <c r="B7" s="142" t="s">
        <v>2165</v>
      </c>
      <c r="C7" s="142" t="s">
        <v>1240</v>
      </c>
      <c r="D7" s="142" t="s">
        <v>1271</v>
      </c>
      <c r="E7" s="142" t="s">
        <v>1335</v>
      </c>
      <c r="F7" s="143">
        <v>41779</v>
      </c>
      <c r="G7" s="144"/>
      <c r="H7" s="145">
        <v>1</v>
      </c>
      <c r="I7" s="145">
        <v>0</v>
      </c>
      <c r="J7" s="145">
        <v>0</v>
      </c>
      <c r="K7" s="145">
        <v>0</v>
      </c>
      <c r="L7" s="146">
        <v>0</v>
      </c>
      <c r="M7" s="146">
        <f t="shared" ref="M7" si="6">IF(H7="","--",L7/H7)</f>
        <v>0</v>
      </c>
      <c r="N7" s="331">
        <f t="shared" ref="N7" si="7">IF(H7="","--",I7/H7)</f>
        <v>0</v>
      </c>
      <c r="O7" s="331">
        <f t="shared" ref="O7" si="8">IF(H7="","--",SUM(I7:K7)/H7)</f>
        <v>0</v>
      </c>
      <c r="P7" s="147" t="s">
        <v>5445</v>
      </c>
      <c r="Q7" s="147"/>
      <c r="R7" s="142"/>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BA7" s="441"/>
    </row>
    <row r="8" spans="1:56" s="90" customFormat="1" ht="12" customHeight="1" x14ac:dyDescent="0.15">
      <c r="A8" s="142" t="s">
        <v>3318</v>
      </c>
      <c r="B8" s="142" t="s">
        <v>493</v>
      </c>
      <c r="C8" s="142" t="s">
        <v>2114</v>
      </c>
      <c r="D8" s="142" t="s">
        <v>2091</v>
      </c>
      <c r="E8" s="142" t="s">
        <v>3229</v>
      </c>
      <c r="F8" s="143">
        <v>41661</v>
      </c>
      <c r="G8" s="144">
        <v>1700</v>
      </c>
      <c r="H8" s="145">
        <v>3</v>
      </c>
      <c r="I8" s="145">
        <v>0</v>
      </c>
      <c r="J8" s="145">
        <v>0</v>
      </c>
      <c r="K8" s="145">
        <v>1</v>
      </c>
      <c r="L8" s="146">
        <f>410+1300+143</f>
        <v>1853</v>
      </c>
      <c r="M8" s="146">
        <f>IF(H8="","--",L8/H8)</f>
        <v>617.66666666666663</v>
      </c>
      <c r="N8" s="331">
        <f>IF(H8="","--",I8/H8)</f>
        <v>0</v>
      </c>
      <c r="O8" s="331">
        <f>IF(H8="","--",SUM(I8:K8)/H8)</f>
        <v>0.33333333333333331</v>
      </c>
      <c r="P8" s="147" t="s">
        <v>5671</v>
      </c>
      <c r="Q8" s="147"/>
      <c r="R8" s="142" t="s">
        <v>3469</v>
      </c>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BA8" s="441"/>
    </row>
    <row r="9" spans="1:56" s="90" customFormat="1" ht="12" customHeight="1" x14ac:dyDescent="0.15">
      <c r="A9" s="142" t="s">
        <v>2487</v>
      </c>
      <c r="B9" s="142" t="s">
        <v>3078</v>
      </c>
      <c r="C9" s="142" t="s">
        <v>2488</v>
      </c>
      <c r="D9" s="142" t="s">
        <v>2096</v>
      </c>
      <c r="E9" s="142" t="s">
        <v>2509</v>
      </c>
      <c r="F9" s="143">
        <v>41667</v>
      </c>
      <c r="G9" s="144"/>
      <c r="H9" s="145">
        <v>1</v>
      </c>
      <c r="I9" s="145">
        <v>0</v>
      </c>
      <c r="J9" s="145">
        <v>0</v>
      </c>
      <c r="K9" s="145">
        <v>0</v>
      </c>
      <c r="L9" s="146">
        <v>215</v>
      </c>
      <c r="M9" s="146">
        <f t="shared" ref="M9" si="9">IF(H9="","--",L9/H9)</f>
        <v>215</v>
      </c>
      <c r="N9" s="331">
        <f t="shared" ref="N9" si="10">IF(H9="","--",I9/H9)</f>
        <v>0</v>
      </c>
      <c r="O9" s="331">
        <f t="shared" ref="O9" si="11">IF(H9="","--",SUM(I9:K9)/H9)</f>
        <v>0</v>
      </c>
      <c r="P9" s="147" t="s">
        <v>5736</v>
      </c>
      <c r="Q9" s="147"/>
      <c r="R9" s="142"/>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BA9" s="441"/>
    </row>
    <row r="10" spans="1:56" s="90" customFormat="1" ht="12" customHeight="1" x14ac:dyDescent="0.15">
      <c r="A10" s="51" t="s">
        <v>3316</v>
      </c>
      <c r="B10" s="51" t="s">
        <v>3074</v>
      </c>
      <c r="C10" s="51" t="s">
        <v>2497</v>
      </c>
      <c r="D10" s="51" t="s">
        <v>2498</v>
      </c>
      <c r="E10" s="51" t="s">
        <v>2504</v>
      </c>
      <c r="F10" s="85">
        <v>41785</v>
      </c>
      <c r="G10" s="86"/>
      <c r="H10" s="348"/>
      <c r="I10" s="348"/>
      <c r="J10" s="348"/>
      <c r="K10" s="348"/>
      <c r="L10" s="86"/>
      <c r="M10" s="86"/>
      <c r="N10" s="86"/>
      <c r="O10" s="86"/>
      <c r="P10" s="349" t="s">
        <v>5445</v>
      </c>
      <c r="Q10" s="349"/>
      <c r="R10" s="349"/>
      <c r="S10" s="55"/>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13"/>
    </row>
    <row r="11" spans="1:56" s="90" customFormat="1" ht="12" customHeight="1" x14ac:dyDescent="0.15">
      <c r="A11" s="51" t="s">
        <v>3795</v>
      </c>
      <c r="B11" s="51" t="s">
        <v>3077</v>
      </c>
      <c r="C11" s="51" t="s">
        <v>2501</v>
      </c>
      <c r="D11" s="51" t="s">
        <v>2502</v>
      </c>
      <c r="E11" s="51" t="s">
        <v>2506</v>
      </c>
      <c r="F11" s="85">
        <v>41759</v>
      </c>
      <c r="G11" s="86"/>
      <c r="H11" s="348"/>
      <c r="I11" s="348"/>
      <c r="J11" s="348"/>
      <c r="K11" s="348"/>
      <c r="L11" s="86" t="s">
        <v>18</v>
      </c>
      <c r="M11" s="86"/>
      <c r="N11" s="86"/>
      <c r="O11" s="86"/>
      <c r="P11" s="349" t="s">
        <v>5399</v>
      </c>
      <c r="Q11" s="349"/>
      <c r="R11" s="349"/>
      <c r="S11" s="55"/>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13"/>
    </row>
    <row r="12" spans="1:56" s="90" customFormat="1" ht="12" customHeight="1" x14ac:dyDescent="0.15">
      <c r="A12" s="51" t="s">
        <v>2469</v>
      </c>
      <c r="B12" s="51" t="s">
        <v>29</v>
      </c>
      <c r="C12" s="51" t="s">
        <v>2061</v>
      </c>
      <c r="D12" s="51" t="s">
        <v>2096</v>
      </c>
      <c r="E12" s="51" t="s">
        <v>2313</v>
      </c>
      <c r="F12" s="85">
        <v>41730</v>
      </c>
      <c r="G12" s="86"/>
      <c r="H12" s="348"/>
      <c r="I12" s="348"/>
      <c r="J12" s="348"/>
      <c r="K12" s="348"/>
      <c r="L12" s="86" t="s">
        <v>18</v>
      </c>
      <c r="M12" s="86"/>
      <c r="N12" s="86"/>
      <c r="O12" s="86"/>
      <c r="P12" s="349" t="s">
        <v>5445</v>
      </c>
      <c r="Q12" s="349"/>
      <c r="R12" s="349"/>
      <c r="S12" s="55"/>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13"/>
    </row>
    <row r="13" spans="1:56" s="90" customFormat="1" ht="12" customHeight="1" x14ac:dyDescent="0.15">
      <c r="A13" s="51" t="s">
        <v>3606</v>
      </c>
      <c r="B13" s="51" t="s">
        <v>3077</v>
      </c>
      <c r="C13" s="51" t="s">
        <v>1408</v>
      </c>
      <c r="D13" s="51" t="s">
        <v>1027</v>
      </c>
      <c r="E13" s="51" t="s">
        <v>1335</v>
      </c>
      <c r="F13" s="85">
        <v>41765</v>
      </c>
      <c r="G13" s="86"/>
      <c r="H13" s="348"/>
      <c r="I13" s="348"/>
      <c r="J13" s="348"/>
      <c r="K13" s="348"/>
      <c r="L13" s="86"/>
      <c r="M13" s="86"/>
      <c r="N13" s="86"/>
      <c r="O13" s="86"/>
      <c r="P13" s="349" t="s">
        <v>5445</v>
      </c>
      <c r="Q13" s="349"/>
      <c r="R13" s="349"/>
      <c r="S13" s="55"/>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13"/>
    </row>
    <row r="14" spans="1:56" s="90" customFormat="1" ht="12" customHeight="1" x14ac:dyDescent="0.15">
      <c r="A14" s="51" t="s">
        <v>3996</v>
      </c>
      <c r="B14" s="51" t="s">
        <v>2146</v>
      </c>
      <c r="C14" s="51" t="s">
        <v>2494</v>
      </c>
      <c r="D14" s="51" t="s">
        <v>2495</v>
      </c>
      <c r="E14" s="51" t="s">
        <v>2505</v>
      </c>
      <c r="F14" s="85">
        <v>41687</v>
      </c>
      <c r="G14" s="86">
        <v>9500</v>
      </c>
      <c r="H14" s="348"/>
      <c r="I14" s="348"/>
      <c r="J14" s="348"/>
      <c r="K14" s="348"/>
      <c r="L14" s="86"/>
      <c r="M14" s="86"/>
      <c r="N14" s="86"/>
      <c r="O14" s="86"/>
      <c r="P14" s="349" t="s">
        <v>5729</v>
      </c>
      <c r="Q14" s="349"/>
      <c r="R14" s="349" t="s">
        <v>3483</v>
      </c>
      <c r="S14" s="55"/>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13"/>
    </row>
    <row r="15" spans="1:56" s="90" customFormat="1" ht="12" customHeight="1" x14ac:dyDescent="0.15">
      <c r="A15" s="51" t="s">
        <v>2481</v>
      </c>
      <c r="B15" s="51" t="s">
        <v>28</v>
      </c>
      <c r="C15" s="51" t="s">
        <v>2482</v>
      </c>
      <c r="D15" s="51" t="s">
        <v>2483</v>
      </c>
      <c r="E15" s="51" t="s">
        <v>2507</v>
      </c>
      <c r="F15" s="85">
        <v>41731</v>
      </c>
      <c r="G15" s="86"/>
      <c r="H15" s="87"/>
      <c r="I15" s="87"/>
      <c r="J15" s="87"/>
      <c r="K15" s="87"/>
      <c r="L15" s="86"/>
      <c r="M15" s="86"/>
      <c r="N15" s="86"/>
      <c r="O15" s="86"/>
      <c r="P15" s="349" t="s">
        <v>5704</v>
      </c>
      <c r="Q15" s="89"/>
      <c r="R15" s="89"/>
      <c r="S15" s="55"/>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13"/>
    </row>
    <row r="16" spans="1:56" s="90" customFormat="1" ht="12" customHeight="1" x14ac:dyDescent="0.15">
      <c r="A16" s="51" t="s">
        <v>2425</v>
      </c>
      <c r="B16" s="51" t="s">
        <v>28</v>
      </c>
      <c r="C16" s="51" t="s">
        <v>2396</v>
      </c>
      <c r="D16" s="51" t="s">
        <v>2091</v>
      </c>
      <c r="E16" s="51" t="s">
        <v>2397</v>
      </c>
      <c r="F16" s="85">
        <v>41683</v>
      </c>
      <c r="G16" s="86"/>
      <c r="H16" s="87"/>
      <c r="I16" s="87"/>
      <c r="J16" s="87"/>
      <c r="K16" s="87"/>
      <c r="L16" s="86"/>
      <c r="M16" s="86"/>
      <c r="N16" s="86"/>
      <c r="O16" s="86"/>
      <c r="P16" s="349" t="s">
        <v>5694</v>
      </c>
      <c r="Q16" s="89"/>
      <c r="R16" s="89"/>
      <c r="S16" s="55"/>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13"/>
    </row>
    <row r="17" spans="1:57" s="90" customFormat="1" ht="12" customHeight="1" x14ac:dyDescent="0.15">
      <c r="A17" s="51" t="s">
        <v>2491</v>
      </c>
      <c r="B17" s="51" t="s">
        <v>3419</v>
      </c>
      <c r="C17" s="51" t="s">
        <v>2492</v>
      </c>
      <c r="D17" s="51" t="s">
        <v>2097</v>
      </c>
      <c r="E17" s="51" t="s">
        <v>2512</v>
      </c>
      <c r="F17" s="85">
        <v>41729</v>
      </c>
      <c r="G17" s="86"/>
      <c r="H17" s="348"/>
      <c r="I17" s="348"/>
      <c r="J17" s="348"/>
      <c r="K17" s="348"/>
      <c r="L17" s="86"/>
      <c r="M17" s="86"/>
      <c r="N17" s="86"/>
      <c r="O17" s="86"/>
      <c r="P17" s="349" t="s">
        <v>5627</v>
      </c>
      <c r="Q17" s="349"/>
      <c r="R17" s="349"/>
      <c r="S17" s="55"/>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13"/>
    </row>
    <row r="18" spans="1:57" s="90" customFormat="1" ht="12" customHeight="1" x14ac:dyDescent="0.15">
      <c r="A18" s="51" t="s">
        <v>3901</v>
      </c>
      <c r="B18" s="51" t="s">
        <v>2196</v>
      </c>
      <c r="C18" s="51" t="s">
        <v>2044</v>
      </c>
      <c r="D18" s="51" t="s">
        <v>728</v>
      </c>
      <c r="E18" s="51" t="s">
        <v>2271</v>
      </c>
      <c r="F18" s="85">
        <v>41709</v>
      </c>
      <c r="G18" s="86"/>
      <c r="H18" s="87"/>
      <c r="I18" s="87"/>
      <c r="J18" s="87"/>
      <c r="K18" s="87"/>
      <c r="L18" s="86"/>
      <c r="M18" s="86"/>
      <c r="N18" s="86"/>
      <c r="O18" s="86"/>
      <c r="P18" s="349" t="s">
        <v>5495</v>
      </c>
      <c r="Q18" s="89"/>
      <c r="R18" s="89" t="s">
        <v>2286</v>
      </c>
      <c r="S18" s="55"/>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13"/>
    </row>
    <row r="19" spans="1:57" s="90" customFormat="1" ht="12" customHeight="1" x14ac:dyDescent="0.15">
      <c r="A19" s="129"/>
      <c r="B19" s="51"/>
      <c r="C19" s="51"/>
      <c r="D19" s="51"/>
      <c r="E19" s="51"/>
      <c r="F19" s="85"/>
      <c r="G19" s="86"/>
      <c r="H19" s="103"/>
      <c r="I19" s="103"/>
      <c r="J19" s="103"/>
      <c r="K19" s="103"/>
      <c r="L19" s="96"/>
      <c r="M19" s="119"/>
      <c r="N19" s="64"/>
      <c r="O19" s="64"/>
      <c r="P19" s="149"/>
      <c r="Q19" s="349"/>
      <c r="R19" s="349"/>
      <c r="S19" s="55"/>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13"/>
      <c r="BA19" s="441" t="str">
        <f t="shared" ref="BA19:BA20" si="12">IF(I19="","",IF(I19=0,0,1))</f>
        <v/>
      </c>
    </row>
    <row r="20" spans="1:57" ht="12" customHeight="1" x14ac:dyDescent="0.15">
      <c r="A20" s="110" t="s">
        <v>1699</v>
      </c>
      <c r="G20" s="96"/>
      <c r="H20" s="103"/>
      <c r="I20" s="103"/>
      <c r="J20" s="103"/>
      <c r="K20" s="103"/>
      <c r="L20" s="100"/>
      <c r="M20" s="100"/>
      <c r="N20" s="334"/>
      <c r="O20" s="334"/>
      <c r="P20" s="149"/>
      <c r="Q20" s="149"/>
      <c r="S20" s="13"/>
      <c r="T20" s="13"/>
      <c r="BA20" s="441" t="str">
        <f t="shared" si="12"/>
        <v/>
      </c>
    </row>
    <row r="21" spans="1:57" s="90" customFormat="1" ht="12" customHeight="1" x14ac:dyDescent="0.15">
      <c r="A21" s="51" t="s">
        <v>3753</v>
      </c>
      <c r="B21" s="51" t="s">
        <v>28</v>
      </c>
      <c r="C21" s="51" t="s">
        <v>2049</v>
      </c>
      <c r="D21" s="51" t="s">
        <v>2092</v>
      </c>
      <c r="E21" s="51" t="s">
        <v>2305</v>
      </c>
      <c r="F21" s="85">
        <v>41692</v>
      </c>
      <c r="G21" s="86"/>
      <c r="H21" s="87"/>
      <c r="I21" s="87"/>
      <c r="J21" s="87"/>
      <c r="K21" s="87"/>
      <c r="L21" s="86"/>
      <c r="M21" s="86"/>
      <c r="N21" s="86"/>
      <c r="O21" s="86"/>
      <c r="P21" s="349" t="s">
        <v>4529</v>
      </c>
      <c r="Q21" s="89"/>
      <c r="R21" s="89"/>
      <c r="S21" s="55"/>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13"/>
    </row>
    <row r="22" spans="1:57" s="90" customFormat="1" ht="12.75" customHeight="1" x14ac:dyDescent="0.15">
      <c r="A22" s="51" t="s">
        <v>3211</v>
      </c>
      <c r="B22" s="51" t="s">
        <v>2146</v>
      </c>
      <c r="C22" s="51" t="s">
        <v>2115</v>
      </c>
      <c r="D22" s="51" t="s">
        <v>2090</v>
      </c>
      <c r="E22" s="51" t="s">
        <v>2280</v>
      </c>
      <c r="F22" s="85">
        <v>41663</v>
      </c>
      <c r="G22" s="86"/>
      <c r="H22" s="87"/>
      <c r="I22" s="87"/>
      <c r="J22" s="87"/>
      <c r="K22" s="87"/>
      <c r="L22" s="86"/>
      <c r="M22" s="86"/>
      <c r="N22" s="86"/>
      <c r="O22" s="86"/>
      <c r="P22" s="349" t="s">
        <v>5140</v>
      </c>
      <c r="Q22" s="89"/>
      <c r="R22" s="89" t="s">
        <v>2132</v>
      </c>
      <c r="S22" s="55"/>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13"/>
    </row>
    <row r="23" spans="1:57" s="90" customFormat="1" ht="12" customHeight="1" x14ac:dyDescent="0.15">
      <c r="A23" s="51" t="s">
        <v>3277</v>
      </c>
      <c r="B23" s="51" t="s">
        <v>2169</v>
      </c>
      <c r="C23" s="51" t="s">
        <v>2045</v>
      </c>
      <c r="D23" s="51" t="s">
        <v>2088</v>
      </c>
      <c r="E23" s="51" t="s">
        <v>2300</v>
      </c>
      <c r="F23" s="85">
        <v>41711</v>
      </c>
      <c r="G23" s="86">
        <v>22000</v>
      </c>
      <c r="H23" s="348"/>
      <c r="I23" s="348"/>
      <c r="J23" s="348"/>
      <c r="K23" s="348"/>
      <c r="L23" s="86" t="s">
        <v>18</v>
      </c>
      <c r="M23" s="86"/>
      <c r="N23" s="86"/>
      <c r="O23" s="86"/>
      <c r="P23" s="349" t="s">
        <v>5258</v>
      </c>
      <c r="Q23" s="349"/>
      <c r="R23" s="349" t="s">
        <v>3468</v>
      </c>
      <c r="S23" s="55"/>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13"/>
    </row>
    <row r="24" spans="1:57" s="90" customFormat="1" ht="12" customHeight="1" x14ac:dyDescent="0.15">
      <c r="A24" s="51" t="s">
        <v>3236</v>
      </c>
      <c r="B24" s="51" t="s">
        <v>2272</v>
      </c>
      <c r="C24" s="51" t="s">
        <v>2074</v>
      </c>
      <c r="D24" s="51" t="s">
        <v>1193</v>
      </c>
      <c r="E24" s="51" t="s">
        <v>2299</v>
      </c>
      <c r="F24" s="85">
        <v>41693</v>
      </c>
      <c r="G24" s="86">
        <v>15000</v>
      </c>
      <c r="H24" s="348"/>
      <c r="I24" s="348"/>
      <c r="J24" s="348"/>
      <c r="K24" s="348"/>
      <c r="L24" s="86"/>
      <c r="M24" s="86"/>
      <c r="N24" s="86"/>
      <c r="O24" s="86"/>
      <c r="P24" s="349" t="s">
        <v>5258</v>
      </c>
      <c r="Q24" s="349"/>
      <c r="R24" s="349" t="s">
        <v>3486</v>
      </c>
      <c r="S24" s="55"/>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13"/>
    </row>
    <row r="25" spans="1:57" s="90" customFormat="1" ht="12" customHeight="1" x14ac:dyDescent="0.15">
      <c r="A25" s="129"/>
      <c r="B25" s="51"/>
      <c r="C25" s="51"/>
      <c r="D25" s="51"/>
      <c r="E25" s="51"/>
      <c r="F25" s="85"/>
      <c r="G25" s="86"/>
      <c r="H25" s="348"/>
      <c r="I25" s="348"/>
      <c r="J25" s="348"/>
      <c r="K25" s="348"/>
      <c r="L25" s="86"/>
      <c r="M25" s="119"/>
      <c r="N25" s="333"/>
      <c r="O25" s="333"/>
      <c r="P25" s="349"/>
      <c r="Q25" s="349"/>
      <c r="R25" s="349"/>
      <c r="S25" s="55"/>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13"/>
      <c r="BA25" s="441" t="str">
        <f t="shared" ref="BA25:BA26" si="13">IF(I25="","",IF(I25=0,0,1))</f>
        <v/>
      </c>
    </row>
    <row r="26" spans="1:57" ht="12" customHeight="1" x14ac:dyDescent="0.15">
      <c r="A26" s="110" t="s">
        <v>1698</v>
      </c>
      <c r="G26" s="96"/>
      <c r="H26" s="103"/>
      <c r="I26" s="103"/>
      <c r="J26" s="103"/>
      <c r="K26" s="103"/>
      <c r="L26" s="100"/>
      <c r="M26" s="100"/>
      <c r="N26" s="334"/>
      <c r="O26" s="334"/>
      <c r="P26" s="149"/>
      <c r="Q26" s="149"/>
      <c r="S26" s="13"/>
      <c r="T26" s="13"/>
      <c r="BA26" s="441" t="str">
        <f t="shared" si="13"/>
        <v/>
      </c>
    </row>
    <row r="27" spans="1:57" s="90" customFormat="1" ht="12" customHeight="1" x14ac:dyDescent="0.15">
      <c r="A27" s="51"/>
      <c r="B27" s="51"/>
      <c r="C27" s="51"/>
      <c r="D27" s="51"/>
      <c r="E27" s="51"/>
      <c r="F27" s="85"/>
      <c r="G27" s="86"/>
      <c r="H27" s="348"/>
      <c r="I27" s="348"/>
      <c r="J27" s="348"/>
      <c r="K27" s="348"/>
      <c r="L27" s="86"/>
      <c r="M27" s="119"/>
      <c r="N27" s="119"/>
      <c r="O27" s="119"/>
      <c r="P27" s="511"/>
      <c r="Q27" s="119"/>
      <c r="R27" s="511"/>
      <c r="S27" s="54"/>
      <c r="T27" s="349"/>
      <c r="U27" s="349"/>
      <c r="V27" s="51"/>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13"/>
      <c r="BC27" s="441" t="str">
        <f>IF(I27="","",IF(I27=0,0,1))</f>
        <v/>
      </c>
      <c r="BE27" s="441" t="str">
        <f>IF(I27="","",IF(I27=0,0,1))</f>
        <v/>
      </c>
    </row>
    <row r="28" spans="1:57" ht="12" customHeight="1" x14ac:dyDescent="0.15">
      <c r="A28" s="110" t="s">
        <v>1789</v>
      </c>
      <c r="G28" s="96"/>
      <c r="H28" s="103"/>
      <c r="I28" s="103"/>
      <c r="J28" s="103"/>
      <c r="K28" s="103"/>
      <c r="L28" s="100"/>
      <c r="M28" s="119"/>
      <c r="N28" s="120"/>
      <c r="O28" s="120"/>
      <c r="P28" s="512"/>
      <c r="Q28" s="120"/>
      <c r="R28" s="512"/>
      <c r="S28" s="64"/>
      <c r="T28" s="149"/>
      <c r="U28" s="149"/>
      <c r="V28" s="6"/>
      <c r="BC28" s="441" t="str">
        <f>IF(I28="","",IF(I28=0,0,1))</f>
        <v/>
      </c>
      <c r="BE28" s="441" t="str">
        <f>IF(I28="","",IF(I28=0,0,1))</f>
        <v/>
      </c>
    </row>
    <row r="29" spans="1:57" s="90" customFormat="1" ht="12" customHeight="1" x14ac:dyDescent="0.15">
      <c r="A29" s="51" t="s">
        <v>3639</v>
      </c>
      <c r="B29" s="51" t="s">
        <v>2165</v>
      </c>
      <c r="C29" s="51" t="s">
        <v>2245</v>
      </c>
      <c r="D29" s="51" t="s">
        <v>2254</v>
      </c>
      <c r="E29" s="51" t="s">
        <v>3545</v>
      </c>
      <c r="F29" s="85">
        <v>41687</v>
      </c>
      <c r="G29" s="86">
        <v>42000</v>
      </c>
      <c r="H29" s="348"/>
      <c r="I29" s="348"/>
      <c r="J29" s="348"/>
      <c r="K29" s="348"/>
      <c r="L29" s="86"/>
      <c r="M29" s="86"/>
      <c r="N29" s="86"/>
      <c r="O29" s="86"/>
      <c r="P29" s="349"/>
      <c r="Q29" s="349"/>
      <c r="R29" s="349" t="s">
        <v>4907</v>
      </c>
      <c r="S29" s="55"/>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13"/>
    </row>
    <row r="30" spans="1:57" s="90" customFormat="1" ht="12" customHeight="1" x14ac:dyDescent="0.15">
      <c r="A30" s="51" t="s">
        <v>5209</v>
      </c>
      <c r="B30" s="51" t="s">
        <v>3431</v>
      </c>
      <c r="C30" s="51" t="s">
        <v>2060</v>
      </c>
      <c r="D30" s="51" t="s">
        <v>2008</v>
      </c>
      <c r="E30" s="51" t="s">
        <v>3432</v>
      </c>
      <c r="F30" s="85">
        <v>41734</v>
      </c>
      <c r="G30" s="86"/>
      <c r="H30" s="87"/>
      <c r="I30" s="87"/>
      <c r="J30" s="87"/>
      <c r="K30" s="87"/>
      <c r="L30" s="86"/>
      <c r="M30" s="86"/>
      <c r="N30" s="86"/>
      <c r="O30" s="86"/>
      <c r="P30" s="349"/>
      <c r="Q30" s="89"/>
      <c r="R30" s="89" t="s">
        <v>5210</v>
      </c>
      <c r="S30" s="55"/>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13"/>
    </row>
    <row r="31" spans="1:57" s="90" customFormat="1" ht="12" customHeight="1" x14ac:dyDescent="0.15">
      <c r="A31" s="51" t="s">
        <v>3184</v>
      </c>
      <c r="B31" s="51" t="s">
        <v>3420</v>
      </c>
      <c r="C31" s="51" t="s">
        <v>2499</v>
      </c>
      <c r="D31" s="51" t="s">
        <v>2500</v>
      </c>
      <c r="E31" s="51" t="s">
        <v>2503</v>
      </c>
      <c r="F31" s="85">
        <v>41736</v>
      </c>
      <c r="G31" s="86"/>
      <c r="H31" s="348"/>
      <c r="I31" s="348"/>
      <c r="J31" s="348"/>
      <c r="K31" s="348"/>
      <c r="L31" s="86"/>
      <c r="M31" s="86"/>
      <c r="N31" s="86"/>
      <c r="O31" s="86"/>
      <c r="P31" s="349"/>
      <c r="Q31" s="349"/>
      <c r="R31" s="349"/>
      <c r="S31" s="55"/>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13"/>
    </row>
    <row r="32" spans="1:57" s="90" customFormat="1" ht="12" customHeight="1" x14ac:dyDescent="0.15">
      <c r="A32" s="51" t="s">
        <v>3509</v>
      </c>
      <c r="B32" s="51" t="s">
        <v>1988</v>
      </c>
      <c r="C32" s="51" t="s">
        <v>2057</v>
      </c>
      <c r="D32" s="51" t="s">
        <v>2090</v>
      </c>
      <c r="E32" s="51" t="s">
        <v>2340</v>
      </c>
      <c r="F32" s="85">
        <v>41781</v>
      </c>
      <c r="G32" s="86"/>
      <c r="H32" s="87"/>
      <c r="I32" s="87"/>
      <c r="J32" s="87"/>
      <c r="K32" s="87"/>
      <c r="L32" s="86"/>
      <c r="M32" s="86"/>
      <c r="N32" s="86"/>
      <c r="O32" s="86"/>
      <c r="P32" s="349"/>
      <c r="Q32" s="89"/>
      <c r="R32" s="89" t="s">
        <v>3417</v>
      </c>
      <c r="S32" s="55"/>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13"/>
    </row>
    <row r="33" spans="1:55" s="90" customFormat="1" ht="12" customHeight="1" x14ac:dyDescent="0.15">
      <c r="A33" s="51" t="s">
        <v>2470</v>
      </c>
      <c r="B33" s="51" t="s">
        <v>2272</v>
      </c>
      <c r="C33" s="51" t="s">
        <v>2085</v>
      </c>
      <c r="D33" s="51" t="s">
        <v>2086</v>
      </c>
      <c r="E33" s="51" t="s">
        <v>2339</v>
      </c>
      <c r="F33" s="85">
        <v>41733</v>
      </c>
      <c r="G33" s="86"/>
      <c r="H33" s="348"/>
      <c r="I33" s="348"/>
      <c r="J33" s="348"/>
      <c r="K33" s="348"/>
      <c r="L33" s="86"/>
      <c r="M33" s="86"/>
      <c r="N33" s="86"/>
      <c r="O33" s="86"/>
      <c r="P33" s="349"/>
      <c r="Q33" s="349"/>
      <c r="R33" s="349" t="s">
        <v>3091</v>
      </c>
      <c r="S33" s="55"/>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13"/>
    </row>
    <row r="34" spans="1:55" s="90" customFormat="1" ht="12" customHeight="1" x14ac:dyDescent="0.15">
      <c r="A34" s="51" t="s">
        <v>3608</v>
      </c>
      <c r="B34" s="51" t="s">
        <v>3418</v>
      </c>
      <c r="C34" s="51" t="s">
        <v>2320</v>
      </c>
      <c r="D34" s="51" t="s">
        <v>2321</v>
      </c>
      <c r="E34" s="51" t="s">
        <v>2322</v>
      </c>
      <c r="F34" s="85">
        <v>41727</v>
      </c>
      <c r="G34" s="86"/>
      <c r="H34" s="87"/>
      <c r="I34" s="87"/>
      <c r="J34" s="87"/>
      <c r="K34" s="87"/>
      <c r="L34" s="86"/>
      <c r="M34" s="86"/>
      <c r="N34" s="86"/>
      <c r="O34" s="86"/>
      <c r="P34" s="349"/>
      <c r="Q34" s="89"/>
      <c r="R34" s="89" t="s">
        <v>3799</v>
      </c>
      <c r="S34" s="55"/>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13"/>
    </row>
    <row r="35" spans="1:55" s="90" customFormat="1" ht="12" customHeight="1" x14ac:dyDescent="0.15">
      <c r="A35" s="51" t="s">
        <v>2474</v>
      </c>
      <c r="B35" s="51" t="s">
        <v>1989</v>
      </c>
      <c r="C35" s="51" t="s">
        <v>2046</v>
      </c>
      <c r="D35" s="51" t="s">
        <v>2089</v>
      </c>
      <c r="E35" s="51" t="s">
        <v>2338</v>
      </c>
      <c r="F35" s="85">
        <v>41754</v>
      </c>
      <c r="G35" s="86"/>
      <c r="H35" s="87"/>
      <c r="I35" s="87"/>
      <c r="J35" s="87"/>
      <c r="K35" s="87"/>
      <c r="L35" s="86"/>
      <c r="M35" s="86"/>
      <c r="N35" s="86"/>
      <c r="O35" s="86"/>
      <c r="P35" s="349"/>
      <c r="Q35" s="89"/>
      <c r="R35" s="89"/>
      <c r="S35" s="55"/>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13"/>
    </row>
    <row r="36" spans="1:55" s="90" customFormat="1" ht="12" customHeight="1" x14ac:dyDescent="0.15">
      <c r="A36" s="51" t="s">
        <v>3507</v>
      </c>
      <c r="B36" s="51" t="s">
        <v>3077</v>
      </c>
      <c r="C36" s="51" t="s">
        <v>2496</v>
      </c>
      <c r="D36" s="51" t="s">
        <v>898</v>
      </c>
      <c r="E36" s="51" t="s">
        <v>2340</v>
      </c>
      <c r="F36" s="85">
        <v>41761</v>
      </c>
      <c r="G36" s="86"/>
      <c r="H36" s="348"/>
      <c r="I36" s="348"/>
      <c r="J36" s="348"/>
      <c r="K36" s="348"/>
      <c r="L36" s="86"/>
      <c r="M36" s="86"/>
      <c r="N36" s="86"/>
      <c r="O36" s="86"/>
      <c r="P36" s="349"/>
      <c r="Q36" s="349"/>
      <c r="R36" s="349" t="s">
        <v>3508</v>
      </c>
      <c r="S36" s="55"/>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13"/>
    </row>
    <row r="37" spans="1:55" s="90" customFormat="1" ht="12" customHeight="1" x14ac:dyDescent="0.15">
      <c r="A37" s="51" t="s">
        <v>2468</v>
      </c>
      <c r="B37" s="51" t="s">
        <v>3079</v>
      </c>
      <c r="C37" s="51" t="s">
        <v>2099</v>
      </c>
      <c r="D37" s="51" t="s">
        <v>2098</v>
      </c>
      <c r="E37" s="51" t="s">
        <v>2341</v>
      </c>
      <c r="F37" s="85">
        <v>41772</v>
      </c>
      <c r="G37" s="86">
        <v>4000</v>
      </c>
      <c r="H37" s="87"/>
      <c r="I37" s="87"/>
      <c r="J37" s="87"/>
      <c r="K37" s="87"/>
      <c r="L37" s="86"/>
      <c r="M37" s="86"/>
      <c r="N37" s="86"/>
      <c r="O37" s="86"/>
      <c r="P37" s="349"/>
      <c r="Q37" s="89"/>
      <c r="R37" s="89" t="s">
        <v>5051</v>
      </c>
      <c r="S37" s="55"/>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13"/>
    </row>
    <row r="38" spans="1:55" s="90" customFormat="1" ht="12" customHeight="1" x14ac:dyDescent="0.15">
      <c r="A38" s="51" t="s">
        <v>3433</v>
      </c>
      <c r="B38" s="51" t="s">
        <v>3434</v>
      </c>
      <c r="C38" s="51" t="s">
        <v>3435</v>
      </c>
      <c r="D38" s="51" t="s">
        <v>3436</v>
      </c>
      <c r="E38" s="51" t="s">
        <v>3437</v>
      </c>
      <c r="F38" s="85">
        <v>41704</v>
      </c>
      <c r="G38" s="86"/>
      <c r="H38" s="348"/>
      <c r="I38" s="348"/>
      <c r="J38" s="348"/>
      <c r="K38" s="348"/>
      <c r="L38" s="86"/>
      <c r="M38" s="86"/>
      <c r="N38" s="86"/>
      <c r="O38" s="86"/>
      <c r="P38" s="349"/>
      <c r="Q38" s="349"/>
      <c r="R38" s="349"/>
      <c r="S38" s="55"/>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13"/>
    </row>
    <row r="39" spans="1:55" s="90" customFormat="1" ht="12" customHeight="1" x14ac:dyDescent="0.15">
      <c r="A39" s="51" t="s">
        <v>2510</v>
      </c>
      <c r="B39" s="51" t="s">
        <v>29</v>
      </c>
      <c r="C39" s="51" t="s">
        <v>2489</v>
      </c>
      <c r="D39" s="51" t="s">
        <v>2490</v>
      </c>
      <c r="E39" s="51" t="s">
        <v>2511</v>
      </c>
      <c r="F39" s="85">
        <v>41692</v>
      </c>
      <c r="G39" s="86"/>
      <c r="H39" s="348"/>
      <c r="I39" s="348"/>
      <c r="J39" s="348"/>
      <c r="K39" s="348"/>
      <c r="L39" s="86"/>
      <c r="M39" s="86"/>
      <c r="N39" s="86"/>
      <c r="O39" s="86"/>
      <c r="P39" s="349"/>
      <c r="Q39" s="349"/>
      <c r="R39" s="349"/>
      <c r="S39" s="55"/>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13"/>
    </row>
    <row r="40" spans="1:55" s="90" customFormat="1" ht="12" customHeight="1" x14ac:dyDescent="0.15">
      <c r="A40" s="51" t="s">
        <v>3317</v>
      </c>
      <c r="B40" s="51" t="s">
        <v>2165</v>
      </c>
      <c r="C40" s="51" t="s">
        <v>2054</v>
      </c>
      <c r="D40" s="51" t="s">
        <v>2094</v>
      </c>
      <c r="E40" s="51" t="s">
        <v>2430</v>
      </c>
      <c r="F40" s="85">
        <v>41770</v>
      </c>
      <c r="G40" s="86"/>
      <c r="H40" s="87"/>
      <c r="I40" s="87"/>
      <c r="J40" s="87"/>
      <c r="K40" s="87"/>
      <c r="L40" s="86"/>
      <c r="M40" s="86"/>
      <c r="N40" s="86"/>
      <c r="O40" s="86"/>
      <c r="P40" s="349"/>
      <c r="Q40" s="89"/>
      <c r="R40" s="89"/>
      <c r="S40" s="55"/>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13"/>
    </row>
    <row r="41" spans="1:55" s="90" customFormat="1" ht="12" customHeight="1" x14ac:dyDescent="0.15">
      <c r="A41" s="51" t="s">
        <v>3366</v>
      </c>
      <c r="B41" s="51" t="s">
        <v>3077</v>
      </c>
      <c r="C41" s="51" t="s">
        <v>2048</v>
      </c>
      <c r="D41" s="51" t="s">
        <v>2090</v>
      </c>
      <c r="E41" s="51" t="s">
        <v>2340</v>
      </c>
      <c r="F41" s="85">
        <v>41778</v>
      </c>
      <c r="G41" s="86"/>
      <c r="H41" s="87"/>
      <c r="I41" s="87"/>
      <c r="J41" s="87"/>
      <c r="K41" s="87"/>
      <c r="L41" s="86"/>
      <c r="M41" s="86"/>
      <c r="N41" s="86"/>
      <c r="O41" s="86"/>
      <c r="P41" s="349"/>
      <c r="Q41" s="89"/>
      <c r="R41" s="89"/>
      <c r="S41" s="55"/>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13"/>
    </row>
    <row r="42" spans="1:55" s="90" customFormat="1" ht="12" customHeight="1" x14ac:dyDescent="0.15">
      <c r="A42" s="51" t="s">
        <v>5525</v>
      </c>
      <c r="B42" s="51" t="s">
        <v>481</v>
      </c>
      <c r="C42" s="51" t="s">
        <v>3438</v>
      </c>
      <c r="D42" s="51" t="s">
        <v>460</v>
      </c>
      <c r="E42" s="51" t="s">
        <v>3463</v>
      </c>
      <c r="F42" s="85">
        <v>41769</v>
      </c>
      <c r="G42" s="86"/>
      <c r="H42" s="87"/>
      <c r="I42" s="87"/>
      <c r="J42" s="87"/>
      <c r="K42" s="87"/>
      <c r="L42" s="86"/>
      <c r="M42" s="86"/>
      <c r="N42" s="86"/>
      <c r="O42" s="86"/>
      <c r="P42" s="349"/>
      <c r="Q42" s="89"/>
      <c r="R42" s="89" t="s">
        <v>5517</v>
      </c>
      <c r="S42" s="55"/>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13"/>
    </row>
    <row r="43" spans="1:55" s="90" customFormat="1" ht="12" customHeight="1" x14ac:dyDescent="0.15">
      <c r="A43" s="51"/>
      <c r="B43" s="51"/>
      <c r="C43" s="51"/>
      <c r="D43" s="51"/>
      <c r="E43" s="51"/>
      <c r="F43" s="85"/>
      <c r="G43" s="86"/>
      <c r="H43" s="87"/>
      <c r="I43" s="87"/>
      <c r="J43" s="87"/>
      <c r="K43" s="87"/>
      <c r="L43" s="86"/>
      <c r="M43" s="86"/>
      <c r="N43" s="86"/>
      <c r="O43" s="86"/>
      <c r="P43" s="349"/>
      <c r="Q43" s="89"/>
      <c r="R43" s="89"/>
      <c r="S43" s="55"/>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13"/>
    </row>
    <row r="44" spans="1:55" ht="12" customHeight="1" x14ac:dyDescent="0.15">
      <c r="D44" s="110" t="s">
        <v>4950</v>
      </c>
      <c r="P44" s="634"/>
      <c r="Q44" s="8"/>
      <c r="R44" s="7"/>
      <c r="S44" s="75"/>
      <c r="T44" s="6"/>
      <c r="BC44" s="141"/>
    </row>
    <row r="45" spans="1:55" s="90" customFormat="1" ht="12" customHeight="1" x14ac:dyDescent="0.15">
      <c r="A45" s="51"/>
      <c r="B45" s="51"/>
      <c r="C45" s="51"/>
      <c r="D45" s="51"/>
      <c r="E45" s="51"/>
      <c r="F45" s="85"/>
      <c r="G45" s="86"/>
      <c r="H45" s="348"/>
      <c r="I45" s="348"/>
      <c r="J45" s="348"/>
      <c r="K45" s="348"/>
      <c r="L45" s="86"/>
      <c r="M45" s="86"/>
      <c r="N45" s="86"/>
      <c r="O45" s="86"/>
      <c r="P45" s="349"/>
      <c r="Q45" s="349"/>
      <c r="R45" s="349"/>
      <c r="S45" s="55"/>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13"/>
    </row>
    <row r="46" spans="1:55" ht="12" customHeight="1" x14ac:dyDescent="0.15">
      <c r="D46" s="110"/>
      <c r="P46" s="634"/>
      <c r="Q46" s="8"/>
      <c r="R46" s="7"/>
      <c r="S46" s="75"/>
      <c r="T46" s="6"/>
      <c r="BC46" s="141"/>
    </row>
    <row r="47" spans="1:55" s="90" customFormat="1" ht="12" customHeight="1" x14ac:dyDescent="0.15">
      <c r="A47" s="51"/>
      <c r="B47" s="51"/>
      <c r="C47" s="51"/>
      <c r="D47" s="51"/>
      <c r="E47" s="51"/>
      <c r="F47" s="85"/>
      <c r="G47" s="86"/>
      <c r="H47" s="87"/>
      <c r="I47" s="87"/>
      <c r="J47" s="87"/>
      <c r="K47" s="87"/>
      <c r="L47" s="86"/>
      <c r="M47" s="86"/>
      <c r="N47" s="86"/>
      <c r="O47" s="86"/>
      <c r="P47" s="349"/>
      <c r="Q47" s="89"/>
      <c r="R47" s="89"/>
      <c r="S47" s="55"/>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13"/>
    </row>
    <row r="48" spans="1:55" s="90" customFormat="1" ht="12" customHeight="1" x14ac:dyDescent="0.15">
      <c r="A48" s="51"/>
      <c r="B48" s="51"/>
      <c r="C48" s="51"/>
      <c r="D48" s="51"/>
      <c r="E48" s="51"/>
      <c r="F48" s="85"/>
      <c r="G48" s="86"/>
      <c r="H48" s="87"/>
      <c r="I48" s="87"/>
      <c r="J48" s="87"/>
      <c r="K48" s="87"/>
      <c r="L48" s="86"/>
      <c r="M48" s="86"/>
      <c r="N48" s="86"/>
      <c r="O48" s="86"/>
      <c r="P48" s="349"/>
      <c r="Q48" s="89"/>
      <c r="R48" s="89"/>
      <c r="S48" s="55"/>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13"/>
    </row>
    <row r="49" spans="1:47" s="90" customFormat="1" ht="12" customHeight="1" x14ac:dyDescent="0.15">
      <c r="A49" s="372" t="s">
        <v>2493</v>
      </c>
      <c r="B49" s="51"/>
      <c r="C49" s="51"/>
      <c r="D49" s="51"/>
      <c r="E49" s="51"/>
      <c r="F49" s="85"/>
      <c r="G49" s="86"/>
      <c r="H49" s="87"/>
      <c r="I49" s="87"/>
      <c r="J49" s="87"/>
      <c r="K49" s="87"/>
      <c r="L49" s="86"/>
      <c r="M49" s="86"/>
      <c r="N49" s="86"/>
      <c r="O49" s="86"/>
      <c r="P49" s="349"/>
      <c r="Q49" s="89"/>
      <c r="R49" s="89"/>
      <c r="S49" s="55"/>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13"/>
    </row>
    <row r="50" spans="1:47" s="90" customFormat="1" ht="12" customHeight="1" x14ac:dyDescent="0.15">
      <c r="A50" s="361" t="s">
        <v>3513</v>
      </c>
      <c r="B50" s="51"/>
      <c r="C50" s="51" t="s">
        <v>2050</v>
      </c>
      <c r="D50" s="51" t="s">
        <v>2091</v>
      </c>
      <c r="E50" s="51"/>
      <c r="F50" s="85"/>
      <c r="G50" s="86"/>
      <c r="H50" s="87"/>
      <c r="I50" s="87"/>
      <c r="J50" s="87"/>
      <c r="K50" s="87"/>
      <c r="L50" s="86"/>
      <c r="M50" s="86"/>
      <c r="N50" s="86"/>
      <c r="O50" s="86"/>
      <c r="P50" s="349"/>
      <c r="Q50" s="89"/>
      <c r="R50" s="89"/>
      <c r="S50" s="55"/>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13"/>
    </row>
    <row r="51" spans="1:47" s="90" customFormat="1" ht="12" customHeight="1" x14ac:dyDescent="0.15">
      <c r="A51" s="361" t="s">
        <v>3516</v>
      </c>
      <c r="B51" s="51"/>
      <c r="C51" s="51" t="s">
        <v>2047</v>
      </c>
      <c r="D51" s="51" t="s">
        <v>1901</v>
      </c>
      <c r="E51" s="51"/>
      <c r="F51" s="85"/>
      <c r="G51" s="86"/>
      <c r="H51" s="87"/>
      <c r="I51" s="87"/>
      <c r="J51" s="87"/>
      <c r="K51" s="87"/>
      <c r="L51" s="86"/>
      <c r="M51" s="86"/>
      <c r="N51" s="86"/>
      <c r="O51" s="86"/>
      <c r="P51" s="349"/>
      <c r="Q51" s="89"/>
      <c r="R51" s="89"/>
      <c r="S51" s="55"/>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13"/>
    </row>
    <row r="52" spans="1:47" s="90" customFormat="1" ht="12" customHeight="1" x14ac:dyDescent="0.15">
      <c r="A52" s="361" t="s">
        <v>3308</v>
      </c>
      <c r="B52" s="51"/>
      <c r="C52" s="51" t="s">
        <v>2058</v>
      </c>
      <c r="D52" s="51" t="s">
        <v>2095</v>
      </c>
      <c r="E52" s="51"/>
      <c r="F52" s="85"/>
      <c r="G52" s="86"/>
      <c r="H52" s="87"/>
      <c r="I52" s="87"/>
      <c r="J52" s="87"/>
      <c r="K52" s="87"/>
      <c r="L52" s="86"/>
      <c r="M52" s="86"/>
      <c r="N52" s="86"/>
      <c r="O52" s="86"/>
      <c r="P52" s="349"/>
      <c r="Q52" s="89"/>
      <c r="R52" s="89" t="s">
        <v>2285</v>
      </c>
      <c r="S52" s="55"/>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13"/>
    </row>
    <row r="53" spans="1:47" s="90" customFormat="1" ht="12" customHeight="1" x14ac:dyDescent="0.15">
      <c r="A53" s="361" t="s">
        <v>3513</v>
      </c>
      <c r="B53" s="51"/>
      <c r="C53" s="51" t="s">
        <v>2062</v>
      </c>
      <c r="D53" s="51" t="s">
        <v>2097</v>
      </c>
      <c r="E53" s="51"/>
      <c r="F53" s="85"/>
      <c r="G53" s="86"/>
      <c r="H53" s="87"/>
      <c r="I53" s="87"/>
      <c r="J53" s="87"/>
      <c r="K53" s="87"/>
      <c r="L53" s="86"/>
      <c r="M53" s="86"/>
      <c r="N53" s="86"/>
      <c r="O53" s="86"/>
      <c r="P53" s="349"/>
      <c r="Q53" s="89"/>
      <c r="R53" s="89"/>
      <c r="S53" s="55"/>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13"/>
    </row>
    <row r="54" spans="1:47" s="90" customFormat="1" ht="12" customHeight="1" x14ac:dyDescent="0.15">
      <c r="A54" s="361" t="s">
        <v>3308</v>
      </c>
      <c r="B54" s="51"/>
      <c r="C54" s="51" t="s">
        <v>2053</v>
      </c>
      <c r="D54" s="51" t="s">
        <v>2093</v>
      </c>
      <c r="E54" s="51"/>
      <c r="F54" s="85"/>
      <c r="G54" s="86"/>
      <c r="H54" s="87"/>
      <c r="I54" s="87"/>
      <c r="J54" s="87"/>
      <c r="K54" s="87"/>
      <c r="L54" s="86"/>
      <c r="M54" s="86"/>
      <c r="N54" s="86"/>
      <c r="O54" s="86"/>
      <c r="P54" s="349"/>
      <c r="Q54" s="89"/>
      <c r="R54" s="89"/>
      <c r="S54" s="55"/>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13"/>
    </row>
    <row r="55" spans="1:47" s="90" customFormat="1" ht="12" customHeight="1" x14ac:dyDescent="0.15">
      <c r="A55" s="361" t="s">
        <v>3308</v>
      </c>
      <c r="B55" s="51"/>
      <c r="C55" s="51" t="s">
        <v>2055</v>
      </c>
      <c r="D55" s="51" t="s">
        <v>459</v>
      </c>
      <c r="E55" s="51"/>
      <c r="F55" s="85"/>
      <c r="G55" s="86"/>
      <c r="H55" s="87"/>
      <c r="I55" s="87"/>
      <c r="J55" s="87"/>
      <c r="K55" s="87"/>
      <c r="L55" s="86"/>
      <c r="M55" s="86"/>
      <c r="N55" s="86"/>
      <c r="O55" s="86"/>
      <c r="P55" s="349"/>
      <c r="Q55" s="89"/>
      <c r="R55" s="89"/>
      <c r="S55" s="55"/>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13"/>
    </row>
    <row r="56" spans="1:47" s="90" customFormat="1" ht="12" customHeight="1" x14ac:dyDescent="0.15">
      <c r="A56" s="361" t="s">
        <v>3308</v>
      </c>
      <c r="B56" s="51"/>
      <c r="C56" s="51" t="s">
        <v>2135</v>
      </c>
      <c r="D56" s="51" t="s">
        <v>884</v>
      </c>
      <c r="E56" s="51"/>
      <c r="F56" s="85"/>
      <c r="G56" s="86"/>
      <c r="H56" s="87"/>
      <c r="I56" s="87"/>
      <c r="J56" s="87"/>
      <c r="K56" s="87"/>
      <c r="L56" s="86"/>
      <c r="M56" s="86"/>
      <c r="N56" s="86"/>
      <c r="O56" s="86"/>
      <c r="P56" s="349"/>
      <c r="Q56" s="89"/>
      <c r="R56" s="89"/>
      <c r="S56" s="55"/>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13"/>
    </row>
    <row r="57" spans="1:47" s="90" customFormat="1" ht="12" customHeight="1" x14ac:dyDescent="0.15">
      <c r="A57" s="361" t="s">
        <v>3513</v>
      </c>
      <c r="B57" s="51"/>
      <c r="C57" s="51" t="s">
        <v>2059</v>
      </c>
      <c r="D57" s="51" t="s">
        <v>2008</v>
      </c>
      <c r="E57" s="51"/>
      <c r="F57" s="85"/>
      <c r="G57" s="86"/>
      <c r="H57" s="87"/>
      <c r="I57" s="87"/>
      <c r="J57" s="87"/>
      <c r="K57" s="87"/>
      <c r="L57" s="86"/>
      <c r="M57" s="86"/>
      <c r="N57" s="86"/>
      <c r="O57" s="86"/>
      <c r="P57" s="349"/>
      <c r="Q57" s="89"/>
      <c r="R57" s="89"/>
      <c r="S57" s="55"/>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13"/>
    </row>
    <row r="58" spans="1:47" s="90" customFormat="1" ht="12" customHeight="1" x14ac:dyDescent="0.15">
      <c r="A58" s="361" t="s">
        <v>3308</v>
      </c>
      <c r="B58" s="51"/>
      <c r="C58" s="51" t="s">
        <v>2051</v>
      </c>
      <c r="D58" s="51" t="s">
        <v>678</v>
      </c>
      <c r="E58" s="51"/>
      <c r="F58" s="85"/>
      <c r="G58" s="86"/>
      <c r="H58" s="87"/>
      <c r="I58" s="87"/>
      <c r="J58" s="87"/>
      <c r="K58" s="87"/>
      <c r="L58" s="86"/>
      <c r="M58" s="86"/>
      <c r="N58" s="86"/>
      <c r="O58" s="86"/>
      <c r="P58" s="349"/>
      <c r="Q58" s="89"/>
      <c r="R58" s="89"/>
      <c r="S58" s="55"/>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13"/>
    </row>
    <row r="59" spans="1:47" s="90" customFormat="1" ht="12" customHeight="1" x14ac:dyDescent="0.15">
      <c r="A59" s="361" t="s">
        <v>3308</v>
      </c>
      <c r="B59" s="51"/>
      <c r="C59" s="51" t="s">
        <v>2056</v>
      </c>
      <c r="D59" s="51" t="s">
        <v>2087</v>
      </c>
      <c r="E59" s="51"/>
      <c r="F59" s="85"/>
      <c r="G59" s="86"/>
      <c r="H59" s="87"/>
      <c r="I59" s="87"/>
      <c r="J59" s="87"/>
      <c r="K59" s="87"/>
      <c r="L59" s="86"/>
      <c r="M59" s="86"/>
      <c r="N59" s="86"/>
      <c r="O59" s="86"/>
      <c r="P59" s="349"/>
      <c r="Q59" s="89"/>
      <c r="R59" s="89"/>
      <c r="S59" s="55"/>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13"/>
    </row>
    <row r="60" spans="1:47" s="90" customFormat="1" ht="12" customHeight="1" x14ac:dyDescent="0.15">
      <c r="A60" s="361" t="s">
        <v>3513</v>
      </c>
      <c r="B60" s="51"/>
      <c r="C60" s="51" t="s">
        <v>401</v>
      </c>
      <c r="D60" s="51" t="s">
        <v>462</v>
      </c>
      <c r="E60" s="51"/>
      <c r="F60" s="85"/>
      <c r="G60" s="86"/>
      <c r="H60" s="87"/>
      <c r="I60" s="87"/>
      <c r="J60" s="87"/>
      <c r="K60" s="87"/>
      <c r="L60" s="86"/>
      <c r="M60" s="86"/>
      <c r="N60" s="86"/>
      <c r="O60" s="86"/>
      <c r="P60" s="349"/>
      <c r="Q60" s="89"/>
      <c r="R60" s="89"/>
      <c r="S60" s="55"/>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13"/>
    </row>
    <row r="61" spans="1:47" s="90" customFormat="1" ht="12" customHeight="1" x14ac:dyDescent="0.15">
      <c r="A61" s="51" t="s">
        <v>3308</v>
      </c>
      <c r="B61" s="51"/>
      <c r="C61" s="51" t="s">
        <v>3546</v>
      </c>
      <c r="D61" s="51"/>
      <c r="E61" s="51"/>
      <c r="F61" s="85"/>
      <c r="G61" s="86"/>
      <c r="H61" s="87"/>
      <c r="I61" s="87"/>
      <c r="J61" s="87"/>
      <c r="K61" s="87"/>
      <c r="L61" s="86"/>
      <c r="M61" s="86"/>
      <c r="N61" s="86"/>
      <c r="O61" s="86"/>
      <c r="P61" s="349"/>
      <c r="Q61" s="89"/>
      <c r="R61" s="89"/>
      <c r="S61" s="55"/>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13"/>
    </row>
    <row r="62" spans="1:47" s="90" customFormat="1" ht="12" customHeight="1" x14ac:dyDescent="0.15">
      <c r="A62" s="51" t="s">
        <v>3510</v>
      </c>
      <c r="B62" s="51"/>
      <c r="C62" s="51" t="s">
        <v>3547</v>
      </c>
      <c r="D62" s="51"/>
      <c r="E62" s="51"/>
      <c r="F62" s="85"/>
      <c r="G62" s="86"/>
      <c r="H62" s="87"/>
      <c r="I62" s="87"/>
      <c r="J62" s="87"/>
      <c r="K62" s="87"/>
      <c r="L62" s="86"/>
      <c r="M62" s="86"/>
      <c r="N62" s="86"/>
      <c r="O62" s="86"/>
      <c r="P62" s="349"/>
      <c r="Q62" s="89"/>
      <c r="R62" s="89"/>
      <c r="S62" s="55"/>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13"/>
    </row>
    <row r="63" spans="1:47" s="90" customFormat="1" ht="12" customHeight="1" x14ac:dyDescent="0.15">
      <c r="A63" s="51"/>
      <c r="B63" s="51" t="s">
        <v>1400</v>
      </c>
      <c r="C63" s="51" t="s">
        <v>3541</v>
      </c>
      <c r="D63" s="51" t="s">
        <v>923</v>
      </c>
      <c r="E63" s="51" t="s">
        <v>3542</v>
      </c>
      <c r="F63" s="85">
        <v>41727</v>
      </c>
      <c r="G63" s="86"/>
      <c r="H63" s="348"/>
      <c r="I63" s="348"/>
      <c r="J63" s="348"/>
      <c r="K63" s="348"/>
      <c r="L63" s="86"/>
      <c r="M63" s="86"/>
      <c r="N63" s="86"/>
      <c r="O63" s="86"/>
      <c r="P63" s="349"/>
      <c r="Q63" s="349"/>
      <c r="R63" s="349" t="s">
        <v>3754</v>
      </c>
      <c r="S63" s="55"/>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13"/>
    </row>
    <row r="64" spans="1:47" s="90" customFormat="1" ht="12" customHeight="1" x14ac:dyDescent="0.15">
      <c r="A64" s="51"/>
      <c r="B64" s="51"/>
      <c r="C64" s="51"/>
      <c r="D64" s="51"/>
      <c r="E64" s="51"/>
      <c r="F64" s="85"/>
      <c r="G64" s="86"/>
      <c r="H64" s="87"/>
      <c r="I64" s="87"/>
      <c r="J64" s="87"/>
      <c r="K64" s="87"/>
      <c r="L64" s="86"/>
      <c r="M64" s="86"/>
      <c r="N64" s="86"/>
      <c r="O64" s="86"/>
      <c r="P64" s="349"/>
      <c r="Q64" s="89"/>
      <c r="R64" s="89"/>
      <c r="S64" s="55"/>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13"/>
    </row>
    <row r="65" spans="1:47" s="90" customFormat="1" ht="12" customHeight="1" x14ac:dyDescent="0.15">
      <c r="A65" s="51"/>
      <c r="B65" s="51"/>
      <c r="C65" s="51"/>
      <c r="D65" s="51"/>
      <c r="E65" s="51"/>
      <c r="F65" s="85"/>
      <c r="G65" s="86"/>
      <c r="H65" s="87"/>
      <c r="I65" s="87"/>
      <c r="J65" s="87"/>
      <c r="K65" s="87"/>
      <c r="L65" s="86"/>
      <c r="M65" s="86"/>
      <c r="N65" s="86"/>
      <c r="O65" s="86"/>
      <c r="P65" s="349"/>
      <c r="Q65" s="89"/>
      <c r="R65" s="89"/>
      <c r="S65" s="55"/>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13"/>
    </row>
    <row r="66" spans="1:47" s="90" customFormat="1" ht="12" customHeight="1" x14ac:dyDescent="0.15">
      <c r="A66" s="51"/>
      <c r="B66" s="51"/>
      <c r="C66" s="51"/>
      <c r="D66" s="51"/>
      <c r="E66" s="51"/>
      <c r="F66" s="85"/>
      <c r="G66" s="86"/>
      <c r="H66" s="87"/>
      <c r="I66" s="87"/>
      <c r="J66" s="87"/>
      <c r="K66" s="87"/>
      <c r="L66" s="86"/>
      <c r="M66" s="86"/>
      <c r="N66" s="86"/>
      <c r="O66" s="86"/>
      <c r="P66" s="349"/>
      <c r="Q66" s="89"/>
      <c r="R66" s="89"/>
      <c r="S66" s="55"/>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13"/>
    </row>
    <row r="67" spans="1:47" s="90" customFormat="1" ht="12" customHeight="1" x14ac:dyDescent="0.15">
      <c r="A67" s="51"/>
      <c r="B67" s="51"/>
      <c r="C67" s="51"/>
      <c r="D67" s="51"/>
      <c r="E67" s="51"/>
      <c r="F67" s="85"/>
      <c r="G67" s="86"/>
      <c r="H67" s="87"/>
      <c r="I67" s="87"/>
      <c r="J67" s="87"/>
      <c r="K67" s="87"/>
      <c r="L67" s="86"/>
      <c r="M67" s="86"/>
      <c r="N67" s="86"/>
      <c r="O67" s="86"/>
      <c r="P67" s="349"/>
      <c r="Q67" s="89"/>
      <c r="R67" s="89"/>
      <c r="S67" s="55"/>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13"/>
    </row>
    <row r="68" spans="1:47" s="90" customFormat="1" ht="12" customHeight="1" x14ac:dyDescent="0.15">
      <c r="A68" s="51"/>
      <c r="B68" s="51"/>
      <c r="C68" s="51"/>
      <c r="D68" s="51"/>
      <c r="E68" s="51"/>
      <c r="F68" s="85"/>
      <c r="G68" s="86"/>
      <c r="H68" s="87"/>
      <c r="I68" s="87"/>
      <c r="J68" s="87"/>
      <c r="K68" s="87"/>
      <c r="L68" s="86"/>
      <c r="M68" s="86"/>
      <c r="N68" s="86"/>
      <c r="O68" s="86"/>
      <c r="P68" s="349"/>
      <c r="Q68" s="89"/>
      <c r="R68" s="89"/>
      <c r="S68" s="55"/>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13"/>
    </row>
    <row r="69" spans="1:47" s="90" customFormat="1" ht="12" customHeight="1" x14ac:dyDescent="0.15">
      <c r="A69" s="51"/>
      <c r="B69" s="51"/>
      <c r="C69" s="51"/>
      <c r="D69" s="51"/>
      <c r="E69" s="51"/>
      <c r="F69" s="85"/>
      <c r="G69" s="86"/>
      <c r="H69" s="87"/>
      <c r="I69" s="87"/>
      <c r="J69" s="87"/>
      <c r="K69" s="87"/>
      <c r="L69" s="86"/>
      <c r="M69" s="86"/>
      <c r="N69" s="86"/>
      <c r="O69" s="86"/>
      <c r="P69" s="349"/>
      <c r="Q69" s="89"/>
      <c r="R69" s="89"/>
      <c r="S69" s="55"/>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13"/>
    </row>
    <row r="70" spans="1:47" s="90" customFormat="1" ht="12" customHeight="1" x14ac:dyDescent="0.15">
      <c r="A70" s="51"/>
      <c r="B70" s="51"/>
      <c r="C70" s="51"/>
      <c r="D70" s="51"/>
      <c r="E70" s="51"/>
      <c r="F70" s="85"/>
      <c r="G70" s="86"/>
      <c r="H70" s="87"/>
      <c r="I70" s="87"/>
      <c r="J70" s="87"/>
      <c r="K70" s="87"/>
      <c r="L70" s="86"/>
      <c r="M70" s="86"/>
      <c r="N70" s="86"/>
      <c r="O70" s="86"/>
      <c r="P70" s="349"/>
      <c r="Q70" s="89"/>
      <c r="R70" s="89"/>
      <c r="S70" s="55"/>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13"/>
    </row>
    <row r="71" spans="1:47" s="90" customFormat="1" ht="12" customHeight="1" x14ac:dyDescent="0.15">
      <c r="A71" s="51"/>
      <c r="B71" s="51"/>
      <c r="C71" s="51"/>
      <c r="D71" s="51"/>
      <c r="E71" s="51"/>
      <c r="F71" s="85"/>
      <c r="G71" s="86"/>
      <c r="H71" s="87"/>
      <c r="I71" s="87"/>
      <c r="J71" s="87"/>
      <c r="K71" s="87"/>
      <c r="L71" s="86"/>
      <c r="M71" s="86"/>
      <c r="N71" s="86"/>
      <c r="O71" s="86"/>
      <c r="P71" s="349"/>
      <c r="Q71" s="89"/>
      <c r="R71" s="89"/>
      <c r="S71" s="55"/>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13"/>
    </row>
    <row r="72" spans="1:47" s="90" customFormat="1" ht="12" customHeight="1" x14ac:dyDescent="0.15">
      <c r="A72" s="51"/>
      <c r="B72" s="51"/>
      <c r="C72" s="51"/>
      <c r="D72" s="51"/>
      <c r="E72" s="51"/>
      <c r="F72" s="85"/>
      <c r="G72" s="86"/>
      <c r="H72" s="87"/>
      <c r="I72" s="87"/>
      <c r="J72" s="87"/>
      <c r="K72" s="87"/>
      <c r="L72" s="86"/>
      <c r="M72" s="86"/>
      <c r="N72" s="86"/>
      <c r="O72" s="86"/>
      <c r="P72" s="349"/>
      <c r="Q72" s="89"/>
      <c r="R72" s="89"/>
      <c r="S72" s="55"/>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13"/>
    </row>
    <row r="73" spans="1:47" s="90" customFormat="1" ht="12" customHeight="1" x14ac:dyDescent="0.15">
      <c r="A73" s="51"/>
      <c r="B73" s="51"/>
      <c r="C73" s="51"/>
      <c r="D73" s="51"/>
      <c r="E73" s="51"/>
      <c r="F73" s="85"/>
      <c r="G73" s="86"/>
      <c r="H73" s="87"/>
      <c r="I73" s="87"/>
      <c r="J73" s="87"/>
      <c r="K73" s="87"/>
      <c r="L73" s="86"/>
      <c r="M73" s="86"/>
      <c r="N73" s="86"/>
      <c r="O73" s="86"/>
      <c r="P73" s="349"/>
      <c r="Q73" s="89"/>
      <c r="R73" s="89"/>
      <c r="S73" s="55"/>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13"/>
    </row>
    <row r="74" spans="1:47" s="90" customFormat="1" ht="12" customHeight="1" x14ac:dyDescent="0.15">
      <c r="A74" s="51"/>
      <c r="B74" s="51"/>
      <c r="C74" s="51"/>
      <c r="D74" s="51"/>
      <c r="E74" s="51"/>
      <c r="F74" s="85"/>
      <c r="G74" s="86"/>
      <c r="H74" s="87"/>
      <c r="I74" s="87"/>
      <c r="J74" s="87"/>
      <c r="K74" s="87"/>
      <c r="L74" s="86"/>
      <c r="M74" s="86"/>
      <c r="N74" s="86"/>
      <c r="O74" s="86"/>
      <c r="P74" s="349"/>
      <c r="Q74" s="89"/>
      <c r="R74" s="89"/>
      <c r="S74" s="55"/>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13"/>
    </row>
    <row r="75" spans="1:47" s="90" customFormat="1" ht="12" customHeight="1" x14ac:dyDescent="0.15">
      <c r="A75" s="51"/>
      <c r="B75" s="51"/>
      <c r="C75" s="51"/>
      <c r="D75" s="51"/>
      <c r="E75" s="51"/>
      <c r="F75" s="85"/>
      <c r="G75" s="86"/>
      <c r="H75" s="87"/>
      <c r="I75" s="87"/>
      <c r="J75" s="87"/>
      <c r="K75" s="87"/>
      <c r="L75" s="86"/>
      <c r="M75" s="86"/>
      <c r="N75" s="86"/>
      <c r="O75" s="86"/>
      <c r="P75" s="349"/>
      <c r="Q75" s="89"/>
      <c r="R75" s="89"/>
      <c r="S75" s="55"/>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13"/>
    </row>
    <row r="76" spans="1:47" s="90" customFormat="1" ht="12" customHeight="1" x14ac:dyDescent="0.15">
      <c r="A76" s="51"/>
      <c r="B76" s="51"/>
      <c r="C76" s="51"/>
      <c r="D76" s="51"/>
      <c r="E76" s="51"/>
      <c r="F76" s="85"/>
      <c r="G76" s="86"/>
      <c r="H76" s="87"/>
      <c r="I76" s="87"/>
      <c r="J76" s="87"/>
      <c r="K76" s="87"/>
      <c r="L76" s="86"/>
      <c r="M76" s="86"/>
      <c r="N76" s="86"/>
      <c r="O76" s="86"/>
      <c r="P76" s="349"/>
      <c r="Q76" s="89"/>
      <c r="R76" s="89"/>
      <c r="S76" s="55"/>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13"/>
    </row>
    <row r="77" spans="1:47" s="90" customFormat="1" ht="12" customHeight="1" x14ac:dyDescent="0.15">
      <c r="A77" s="51"/>
      <c r="B77" s="51"/>
      <c r="C77" s="51"/>
      <c r="D77" s="51"/>
      <c r="E77" s="51"/>
      <c r="F77" s="85"/>
      <c r="G77" s="86"/>
      <c r="H77" s="87"/>
      <c r="I77" s="87"/>
      <c r="J77" s="87"/>
      <c r="K77" s="87"/>
      <c r="L77" s="86"/>
      <c r="M77" s="86"/>
      <c r="N77" s="86"/>
      <c r="O77" s="86"/>
      <c r="P77" s="349"/>
      <c r="Q77" s="89"/>
      <c r="R77" s="89"/>
      <c r="S77" s="55"/>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13"/>
    </row>
    <row r="78" spans="1:47" s="90" customFormat="1" ht="12" customHeight="1" x14ac:dyDescent="0.15">
      <c r="A78" s="51"/>
      <c r="B78" s="51"/>
      <c r="C78" s="51"/>
      <c r="D78" s="51"/>
      <c r="E78" s="51"/>
      <c r="F78" s="85"/>
      <c r="G78" s="86"/>
      <c r="H78" s="87"/>
      <c r="I78" s="87"/>
      <c r="J78" s="87"/>
      <c r="K78" s="87"/>
      <c r="L78" s="86"/>
      <c r="M78" s="86"/>
      <c r="N78" s="86"/>
      <c r="O78" s="86"/>
      <c r="P78" s="349"/>
      <c r="Q78" s="89"/>
      <c r="R78" s="89"/>
      <c r="S78" s="55"/>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13"/>
    </row>
    <row r="79" spans="1:47" s="90" customFormat="1" ht="12" customHeight="1" x14ac:dyDescent="0.15">
      <c r="A79" s="51"/>
      <c r="B79" s="51"/>
      <c r="C79" s="51"/>
      <c r="D79" s="51"/>
      <c r="E79" s="51"/>
      <c r="F79" s="85"/>
      <c r="G79" s="86"/>
      <c r="H79" s="87"/>
      <c r="I79" s="87"/>
      <c r="J79" s="87"/>
      <c r="K79" s="87"/>
      <c r="L79" s="86"/>
      <c r="M79" s="86"/>
      <c r="N79" s="86"/>
      <c r="O79" s="86"/>
      <c r="P79" s="349"/>
      <c r="Q79" s="89"/>
      <c r="R79" s="89"/>
      <c r="S79" s="55"/>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13"/>
    </row>
    <row r="80" spans="1:47" s="90" customFormat="1" ht="12" customHeight="1" x14ac:dyDescent="0.15">
      <c r="A80" s="51"/>
      <c r="B80" s="51"/>
      <c r="C80" s="51"/>
      <c r="D80" s="51"/>
      <c r="E80" s="51"/>
      <c r="F80" s="85"/>
      <c r="G80" s="86"/>
      <c r="H80" s="87"/>
      <c r="I80" s="87"/>
      <c r="J80" s="87"/>
      <c r="K80" s="87"/>
      <c r="L80" s="86"/>
      <c r="M80" s="86"/>
      <c r="N80" s="86"/>
      <c r="O80" s="86"/>
      <c r="P80" s="349"/>
      <c r="Q80" s="89"/>
      <c r="R80" s="89"/>
      <c r="S80" s="55"/>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13"/>
    </row>
    <row r="81" spans="1:58" s="90" customFormat="1" ht="12" customHeight="1" x14ac:dyDescent="0.15">
      <c r="A81" s="51"/>
      <c r="B81" s="51"/>
      <c r="C81" s="51"/>
      <c r="D81" s="51"/>
      <c r="E81" s="51"/>
      <c r="F81" s="85"/>
      <c r="G81" s="86"/>
      <c r="H81" s="87"/>
      <c r="I81" s="87"/>
      <c r="J81" s="87"/>
      <c r="K81" s="87"/>
      <c r="L81" s="86"/>
      <c r="M81" s="86"/>
      <c r="N81" s="86"/>
      <c r="O81" s="86"/>
      <c r="P81" s="349"/>
      <c r="Q81" s="89"/>
      <c r="R81" s="89"/>
      <c r="S81" s="55"/>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13"/>
    </row>
    <row r="82" spans="1:58" s="90" customFormat="1" ht="12" customHeight="1" x14ac:dyDescent="0.15">
      <c r="A82" s="51"/>
      <c r="B82" s="51"/>
      <c r="C82" s="51"/>
      <c r="D82" s="51"/>
      <c r="E82" s="51"/>
      <c r="F82" s="85"/>
      <c r="G82" s="86"/>
      <c r="H82" s="87"/>
      <c r="I82" s="87"/>
      <c r="J82" s="87"/>
      <c r="K82" s="87"/>
      <c r="L82" s="86"/>
      <c r="M82" s="86"/>
      <c r="N82" s="86"/>
      <c r="O82" s="86"/>
      <c r="P82" s="349"/>
      <c r="Q82" s="89"/>
      <c r="R82" s="89"/>
      <c r="S82" s="55"/>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13"/>
    </row>
    <row r="83" spans="1:58" s="90" customFormat="1" ht="12" customHeight="1" x14ac:dyDescent="0.15">
      <c r="A83" s="51"/>
      <c r="B83" s="51"/>
      <c r="C83" s="51"/>
      <c r="D83" s="51"/>
      <c r="E83" s="51"/>
      <c r="F83" s="85"/>
      <c r="G83" s="86"/>
      <c r="H83" s="87"/>
      <c r="I83" s="87"/>
      <c r="J83" s="87"/>
      <c r="K83" s="87"/>
      <c r="L83" s="86"/>
      <c r="M83" s="86"/>
      <c r="N83" s="86"/>
      <c r="O83" s="86"/>
      <c r="P83" s="349"/>
      <c r="Q83" s="89"/>
      <c r="R83" s="89"/>
      <c r="S83" s="55"/>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13"/>
    </row>
    <row r="84" spans="1:58" s="90" customFormat="1" ht="12" customHeight="1" x14ac:dyDescent="0.15">
      <c r="A84" s="51"/>
      <c r="B84" s="51"/>
      <c r="C84" s="51"/>
      <c r="D84" s="51"/>
      <c r="E84" s="51"/>
      <c r="F84" s="85"/>
      <c r="G84" s="86"/>
      <c r="H84" s="87"/>
      <c r="I84" s="87"/>
      <c r="J84" s="87"/>
      <c r="K84" s="87"/>
      <c r="L84" s="86"/>
      <c r="M84" s="86"/>
      <c r="N84" s="86"/>
      <c r="O84" s="86"/>
      <c r="P84" s="349"/>
      <c r="Q84" s="89"/>
      <c r="R84" s="89"/>
      <c r="S84" s="55"/>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13"/>
    </row>
    <row r="85" spans="1:58" s="90" customFormat="1" ht="12" customHeight="1" x14ac:dyDescent="0.15">
      <c r="A85" s="51"/>
      <c r="B85" s="51"/>
      <c r="C85" s="51"/>
      <c r="D85" s="51"/>
      <c r="E85" s="51"/>
      <c r="F85" s="85"/>
      <c r="G85" s="86"/>
      <c r="H85" s="87"/>
      <c r="I85" s="87"/>
      <c r="J85" s="87"/>
      <c r="K85" s="87"/>
      <c r="L85" s="86"/>
      <c r="M85" s="86"/>
      <c r="N85" s="86"/>
      <c r="O85" s="86"/>
      <c r="P85" s="349"/>
      <c r="Q85" s="89"/>
      <c r="R85" s="89"/>
      <c r="S85" s="55"/>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13"/>
    </row>
    <row r="86" spans="1:58" s="90" customFormat="1" ht="12" customHeight="1" x14ac:dyDescent="0.15">
      <c r="A86" s="51"/>
      <c r="B86" s="51"/>
      <c r="C86" s="51"/>
      <c r="D86" s="51"/>
      <c r="E86" s="51"/>
      <c r="F86" s="85"/>
      <c r="G86" s="86"/>
      <c r="H86" s="87"/>
      <c r="I86" s="87"/>
      <c r="J86" s="87"/>
      <c r="K86" s="87"/>
      <c r="L86" s="86"/>
      <c r="M86" s="86"/>
      <c r="N86" s="86"/>
      <c r="O86" s="86"/>
      <c r="P86" s="349"/>
      <c r="Q86" s="89"/>
      <c r="R86" s="89"/>
      <c r="S86" s="55"/>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13"/>
    </row>
    <row r="87" spans="1:58" s="90" customFormat="1" ht="12" customHeight="1" x14ac:dyDescent="0.15">
      <c r="A87" s="51"/>
      <c r="B87" s="51"/>
      <c r="C87" s="51"/>
      <c r="D87" s="51"/>
      <c r="E87" s="51"/>
      <c r="F87" s="85"/>
      <c r="G87" s="86"/>
      <c r="H87" s="87"/>
      <c r="I87" s="87"/>
      <c r="J87" s="87"/>
      <c r="K87" s="87"/>
      <c r="L87" s="86"/>
      <c r="M87" s="86"/>
      <c r="N87" s="86"/>
      <c r="O87" s="86"/>
      <c r="P87" s="349"/>
      <c r="Q87" s="89"/>
      <c r="R87" s="89"/>
      <c r="S87" s="55"/>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13"/>
    </row>
    <row r="88" spans="1:58" s="90" customFormat="1" ht="12" customHeight="1" x14ac:dyDescent="0.15">
      <c r="A88" s="51"/>
      <c r="B88" s="51"/>
      <c r="C88" s="51"/>
      <c r="D88" s="51"/>
      <c r="E88" s="51"/>
      <c r="F88" s="85"/>
      <c r="G88" s="86"/>
      <c r="H88" s="87"/>
      <c r="I88" s="87"/>
      <c r="J88" s="87"/>
      <c r="K88" s="87"/>
      <c r="L88" s="86"/>
      <c r="M88" s="86"/>
      <c r="N88" s="86"/>
      <c r="O88" s="86"/>
      <c r="P88" s="349"/>
      <c r="Q88" s="89"/>
      <c r="R88" s="89"/>
      <c r="S88" s="55"/>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13"/>
    </row>
    <row r="89" spans="1:58" s="90" customFormat="1" ht="12" customHeight="1" x14ac:dyDescent="0.15">
      <c r="A89" s="51"/>
      <c r="B89" s="51"/>
      <c r="C89" s="51"/>
      <c r="D89" s="51"/>
      <c r="E89" s="51"/>
      <c r="F89" s="85"/>
      <c r="G89" s="86"/>
      <c r="H89" s="87"/>
      <c r="I89" s="87"/>
      <c r="J89" s="87"/>
      <c r="K89" s="87"/>
      <c r="L89" s="86"/>
      <c r="M89" s="86"/>
      <c r="N89" s="86"/>
      <c r="O89" s="86"/>
      <c r="P89" s="349"/>
      <c r="Q89" s="89"/>
      <c r="R89" s="89"/>
      <c r="S89" s="55"/>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13"/>
    </row>
    <row r="90" spans="1:58" s="90" customFormat="1" ht="12" customHeight="1" x14ac:dyDescent="0.15">
      <c r="A90" s="51"/>
      <c r="B90" s="51"/>
      <c r="C90" s="51"/>
      <c r="D90" s="51"/>
      <c r="E90" s="51"/>
      <c r="F90" s="85"/>
      <c r="G90" s="86"/>
      <c r="H90" s="87"/>
      <c r="I90" s="87"/>
      <c r="J90" s="87"/>
      <c r="K90" s="87"/>
      <c r="L90" s="86"/>
      <c r="M90" s="86"/>
      <c r="N90" s="86"/>
      <c r="O90" s="86"/>
      <c r="P90" s="349"/>
      <c r="Q90" s="89"/>
      <c r="R90" s="89"/>
      <c r="S90" s="55"/>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13"/>
    </row>
    <row r="91" spans="1:58" s="90" customFormat="1" ht="12" customHeight="1" x14ac:dyDescent="0.15">
      <c r="A91" s="51"/>
      <c r="B91" s="51"/>
      <c r="C91" s="51"/>
      <c r="D91" s="51"/>
      <c r="E91" s="51"/>
      <c r="F91" s="85"/>
      <c r="G91" s="86"/>
      <c r="H91" s="87"/>
      <c r="I91" s="87"/>
      <c r="J91" s="87"/>
      <c r="K91" s="87"/>
      <c r="L91" s="86"/>
      <c r="M91" s="86"/>
      <c r="N91" s="86"/>
      <c r="O91" s="86"/>
      <c r="P91" s="349"/>
      <c r="Q91" s="89"/>
      <c r="R91" s="89"/>
      <c r="S91" s="55"/>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13"/>
    </row>
    <row r="92" spans="1:58" s="90" customFormat="1" ht="12" customHeight="1" x14ac:dyDescent="0.15">
      <c r="A92" s="51"/>
      <c r="B92" s="51"/>
      <c r="C92" s="51"/>
      <c r="D92" s="51"/>
      <c r="E92" s="51"/>
      <c r="F92" s="85"/>
      <c r="G92" s="86"/>
      <c r="H92" s="87"/>
      <c r="I92" s="87"/>
      <c r="J92" s="87"/>
      <c r="K92" s="87"/>
      <c r="L92" s="86"/>
      <c r="M92" s="86"/>
      <c r="N92" s="86"/>
      <c r="O92" s="86"/>
      <c r="P92" s="349"/>
      <c r="Q92" s="89"/>
      <c r="R92" s="89"/>
      <c r="S92" s="55"/>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13"/>
    </row>
    <row r="93" spans="1:58" s="90" customFormat="1" ht="12" customHeight="1" x14ac:dyDescent="0.15">
      <c r="A93" s="51"/>
      <c r="B93" s="51"/>
      <c r="C93" s="51"/>
      <c r="D93" s="51"/>
      <c r="E93" s="51"/>
      <c r="F93" s="85"/>
      <c r="G93" s="86"/>
      <c r="H93" s="87"/>
      <c r="I93" s="87"/>
      <c r="J93" s="87"/>
      <c r="K93" s="87"/>
      <c r="L93" s="86"/>
      <c r="M93" s="86"/>
      <c r="N93" s="86"/>
      <c r="O93" s="86"/>
      <c r="P93" s="349"/>
      <c r="Q93" s="89"/>
      <c r="R93" s="89"/>
      <c r="S93" s="55"/>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13"/>
    </row>
    <row r="94" spans="1:58" s="14" customFormat="1" x14ac:dyDescent="0.15">
      <c r="A94" s="6"/>
      <c r="B94" s="6"/>
      <c r="C94" s="6"/>
      <c r="D94" s="6"/>
      <c r="E94" s="6"/>
      <c r="F94" s="101"/>
      <c r="G94" s="102"/>
      <c r="H94" s="103"/>
      <c r="I94" s="103"/>
      <c r="J94" s="103"/>
      <c r="K94" s="103"/>
      <c r="L94" s="21"/>
      <c r="M94" s="21"/>
      <c r="N94" s="21"/>
      <c r="O94" s="21"/>
      <c r="P94" s="7"/>
      <c r="Q94" s="75"/>
      <c r="R94" s="6"/>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row>
    <row r="95" spans="1:58" s="14" customFormat="1" x14ac:dyDescent="0.15">
      <c r="A95" s="6"/>
      <c r="B95" s="6"/>
      <c r="C95" s="6"/>
      <c r="D95" s="6"/>
      <c r="E95" s="6"/>
      <c r="F95" s="101"/>
      <c r="G95" s="102"/>
      <c r="H95" s="104"/>
      <c r="I95" s="104"/>
      <c r="J95" s="104"/>
      <c r="K95" s="104"/>
      <c r="L95" s="21"/>
      <c r="M95" s="21"/>
      <c r="N95" s="21"/>
      <c r="O95" s="21"/>
      <c r="P95" s="7"/>
      <c r="Q95" s="75"/>
      <c r="R95" s="6"/>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row>
    <row r="96" spans="1:58" s="14" customFormat="1" x14ac:dyDescent="0.15">
      <c r="A96" s="6"/>
      <c r="B96" s="6"/>
      <c r="C96" s="6"/>
      <c r="D96" s="6"/>
      <c r="E96" s="6"/>
      <c r="F96" s="101"/>
      <c r="G96" s="102"/>
      <c r="H96" s="104"/>
      <c r="I96" s="104"/>
      <c r="J96" s="104"/>
      <c r="K96" s="104"/>
      <c r="L96" s="21"/>
      <c r="M96" s="21"/>
      <c r="N96" s="21"/>
      <c r="O96" s="21"/>
      <c r="P96" s="7"/>
      <c r="Q96" s="75"/>
      <c r="R96" s="6"/>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row>
    <row r="97" spans="1:58" s="14" customFormat="1" x14ac:dyDescent="0.15">
      <c r="A97" s="6"/>
      <c r="B97" s="6"/>
      <c r="C97" s="6"/>
      <c r="D97" s="6"/>
      <c r="E97" s="6"/>
      <c r="F97" s="101"/>
      <c r="G97" s="102"/>
      <c r="H97" s="104"/>
      <c r="I97" s="104"/>
      <c r="J97" s="104"/>
      <c r="K97" s="104"/>
      <c r="L97" s="21"/>
      <c r="M97" s="21"/>
      <c r="N97" s="21"/>
      <c r="O97" s="21"/>
      <c r="P97" s="7"/>
      <c r="Q97" s="75"/>
      <c r="R97" s="6"/>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row>
    <row r="98" spans="1:58" s="14" customFormat="1" x14ac:dyDescent="0.15">
      <c r="A98" s="6"/>
      <c r="B98" s="6"/>
      <c r="C98" s="6"/>
      <c r="D98" s="6"/>
      <c r="E98" s="6"/>
      <c r="F98" s="101"/>
      <c r="G98" s="102"/>
      <c r="H98" s="104"/>
      <c r="I98" s="104"/>
      <c r="J98" s="104"/>
      <c r="K98" s="104"/>
      <c r="L98" s="21"/>
      <c r="M98" s="21"/>
      <c r="N98" s="21"/>
      <c r="O98" s="21"/>
      <c r="P98" s="7"/>
      <c r="Q98" s="75"/>
      <c r="R98" s="6"/>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row>
    <row r="99" spans="1:58" s="14" customFormat="1" x14ac:dyDescent="0.15">
      <c r="A99" s="6"/>
      <c r="B99" s="6"/>
      <c r="C99" s="6"/>
      <c r="D99" s="6"/>
      <c r="E99" s="6"/>
      <c r="F99" s="101"/>
      <c r="G99" s="102"/>
      <c r="H99" s="104"/>
      <c r="I99" s="104"/>
      <c r="J99" s="104"/>
      <c r="K99" s="104"/>
      <c r="L99" s="21"/>
      <c r="M99" s="21"/>
      <c r="N99" s="21"/>
      <c r="O99" s="21"/>
      <c r="P99" s="7"/>
      <c r="Q99" s="75"/>
      <c r="R99" s="6"/>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row>
    <row r="100" spans="1:58" s="14" customFormat="1" x14ac:dyDescent="0.15">
      <c r="A100" s="6"/>
      <c r="B100" s="6"/>
      <c r="C100" s="6"/>
      <c r="D100" s="6"/>
      <c r="E100" s="6"/>
      <c r="F100" s="101"/>
      <c r="G100" s="102"/>
      <c r="H100" s="104"/>
      <c r="I100" s="104"/>
      <c r="J100" s="104"/>
      <c r="K100" s="104"/>
      <c r="L100" s="21"/>
      <c r="M100" s="21"/>
      <c r="N100" s="21"/>
      <c r="O100" s="21"/>
      <c r="P100" s="7"/>
      <c r="Q100" s="75"/>
      <c r="R100" s="6"/>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row>
    <row r="101" spans="1:58" s="14" customFormat="1" x14ac:dyDescent="0.15">
      <c r="A101" s="6"/>
      <c r="B101" s="6"/>
      <c r="C101" s="6"/>
      <c r="D101" s="6"/>
      <c r="E101" s="6"/>
      <c r="F101" s="101"/>
      <c r="G101" s="102"/>
      <c r="H101" s="104"/>
      <c r="I101" s="104"/>
      <c r="J101" s="104"/>
      <c r="K101" s="104"/>
      <c r="L101" s="21"/>
      <c r="M101" s="21"/>
      <c r="N101" s="21"/>
      <c r="O101" s="21"/>
      <c r="P101" s="7"/>
      <c r="Q101" s="75"/>
      <c r="R101" s="6"/>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row>
    <row r="102" spans="1:58" s="14" customFormat="1" x14ac:dyDescent="0.15">
      <c r="A102" s="6"/>
      <c r="B102" s="6"/>
      <c r="C102" s="6"/>
      <c r="D102" s="6"/>
      <c r="E102" s="6"/>
      <c r="F102" s="101"/>
      <c r="G102" s="102"/>
      <c r="H102" s="103"/>
      <c r="I102" s="103"/>
      <c r="J102" s="103"/>
      <c r="K102" s="103"/>
      <c r="L102" s="21"/>
      <c r="M102" s="21"/>
      <c r="N102" s="21"/>
      <c r="O102" s="21"/>
      <c r="P102" s="7"/>
      <c r="Q102" s="75"/>
      <c r="R102" s="75"/>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row>
    <row r="103" spans="1:58" s="14" customFormat="1" x14ac:dyDescent="0.15">
      <c r="A103" s="6"/>
      <c r="B103" s="6"/>
      <c r="C103" s="6"/>
      <c r="D103" s="6"/>
      <c r="E103" s="6"/>
      <c r="F103" s="101"/>
      <c r="G103" s="102"/>
      <c r="H103" s="103"/>
      <c r="I103" s="103"/>
      <c r="J103" s="103"/>
      <c r="K103" s="103"/>
      <c r="L103" s="21"/>
      <c r="M103" s="21"/>
      <c r="N103" s="21"/>
      <c r="O103" s="21"/>
      <c r="P103" s="7"/>
      <c r="Q103" s="75"/>
      <c r="R103" s="6"/>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row>
    <row r="104" spans="1:58" s="14" customFormat="1" x14ac:dyDescent="0.15">
      <c r="A104" s="6"/>
      <c r="B104" s="6"/>
      <c r="C104" s="6"/>
      <c r="D104" s="6"/>
      <c r="E104" s="6"/>
      <c r="F104" s="101"/>
      <c r="G104" s="102"/>
      <c r="H104" s="103"/>
      <c r="I104" s="103"/>
      <c r="J104" s="103"/>
      <c r="K104" s="103"/>
      <c r="L104" s="21"/>
      <c r="M104" s="21"/>
      <c r="N104" s="21"/>
      <c r="O104" s="21"/>
      <c r="P104" s="7"/>
      <c r="Q104" s="75"/>
      <c r="R104" s="6"/>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row>
    <row r="105" spans="1:58" s="14" customFormat="1" x14ac:dyDescent="0.15">
      <c r="A105" s="6"/>
      <c r="B105" s="6"/>
      <c r="C105" s="6"/>
      <c r="D105" s="6"/>
      <c r="E105" s="6"/>
      <c r="F105" s="101"/>
      <c r="G105" s="102"/>
      <c r="H105" s="6"/>
      <c r="I105" s="6"/>
      <c r="J105" s="6"/>
      <c r="K105" s="6"/>
      <c r="L105" s="21"/>
      <c r="M105" s="21"/>
      <c r="N105" s="21"/>
      <c r="O105" s="21"/>
      <c r="P105" s="7"/>
      <c r="Q105" s="75"/>
      <c r="R105" s="6"/>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row>
    <row r="106" spans="1:58" s="14" customFormat="1" x14ac:dyDescent="0.15">
      <c r="A106" s="6"/>
      <c r="B106" s="6"/>
      <c r="C106" s="6"/>
      <c r="D106" s="6"/>
      <c r="E106" s="6"/>
      <c r="F106" s="101"/>
      <c r="G106" s="102"/>
      <c r="H106" s="6"/>
      <c r="I106" s="6"/>
      <c r="J106" s="6"/>
      <c r="K106" s="6"/>
      <c r="L106" s="21"/>
      <c r="M106" s="21"/>
      <c r="N106" s="21"/>
      <c r="O106" s="21"/>
      <c r="P106" s="7"/>
      <c r="Q106" s="75"/>
      <c r="R106" s="6"/>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row>
    <row r="107" spans="1:58" s="14" customFormat="1" x14ac:dyDescent="0.15">
      <c r="A107" s="6"/>
      <c r="B107" s="6"/>
      <c r="C107" s="6"/>
      <c r="D107" s="6"/>
      <c r="E107" s="6"/>
      <c r="F107" s="101"/>
      <c r="G107" s="102"/>
      <c r="H107" s="6"/>
      <c r="I107" s="6"/>
      <c r="J107" s="6"/>
      <c r="K107" s="6"/>
      <c r="L107" s="21"/>
      <c r="M107" s="21"/>
      <c r="N107" s="21"/>
      <c r="O107" s="21"/>
      <c r="P107" s="7"/>
      <c r="Q107" s="75"/>
      <c r="R107" s="6"/>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row>
    <row r="108" spans="1:58" s="14" customFormat="1" x14ac:dyDescent="0.15">
      <c r="A108" s="6"/>
      <c r="B108" s="6"/>
      <c r="C108" s="6"/>
      <c r="D108" s="6"/>
      <c r="E108" s="6"/>
      <c r="F108" s="101"/>
      <c r="G108" s="102"/>
      <c r="H108" s="6"/>
      <c r="I108" s="6"/>
      <c r="J108" s="6"/>
      <c r="K108" s="6"/>
      <c r="L108" s="21"/>
      <c r="M108" s="21"/>
      <c r="N108" s="21"/>
      <c r="O108" s="21"/>
      <c r="P108" s="7"/>
      <c r="Q108" s="75"/>
      <c r="R108" s="6"/>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row>
    <row r="109" spans="1:58" s="14" customFormat="1" x14ac:dyDescent="0.15">
      <c r="A109" s="6"/>
      <c r="B109" s="6"/>
      <c r="C109" s="6"/>
      <c r="D109" s="6"/>
      <c r="E109" s="6"/>
      <c r="F109" s="101"/>
      <c r="G109" s="102"/>
      <c r="H109" s="6"/>
      <c r="I109" s="6"/>
      <c r="J109" s="6"/>
      <c r="K109" s="6"/>
      <c r="L109" s="21"/>
      <c r="M109" s="21"/>
      <c r="N109" s="21"/>
      <c r="O109" s="21"/>
      <c r="P109" s="7"/>
      <c r="Q109" s="75"/>
      <c r="R109" s="6"/>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row>
    <row r="110" spans="1:58" s="14" customFormat="1" x14ac:dyDescent="0.15">
      <c r="A110" s="6"/>
      <c r="B110" s="6"/>
      <c r="C110" s="6"/>
      <c r="D110" s="6"/>
      <c r="E110" s="6"/>
      <c r="F110" s="101"/>
      <c r="G110" s="102"/>
      <c r="H110" s="6"/>
      <c r="I110" s="6"/>
      <c r="J110" s="6"/>
      <c r="K110" s="6"/>
      <c r="L110" s="21"/>
      <c r="M110" s="21"/>
      <c r="N110" s="21"/>
      <c r="O110" s="21"/>
      <c r="P110" s="7"/>
      <c r="Q110" s="75"/>
      <c r="R110" s="6"/>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row>
    <row r="111" spans="1:58" x14ac:dyDescent="0.15">
      <c r="F111" s="105"/>
      <c r="G111" s="106"/>
      <c r="H111" s="6"/>
      <c r="I111" s="6"/>
      <c r="J111" s="6"/>
      <c r="K111" s="6"/>
    </row>
    <row r="112" spans="1:58" x14ac:dyDescent="0.15">
      <c r="H112" s="6"/>
      <c r="I112" s="6"/>
      <c r="J112" s="6"/>
      <c r="K112" s="6"/>
    </row>
    <row r="113" spans="1:58" x14ac:dyDescent="0.15">
      <c r="H113" s="6"/>
      <c r="I113" s="6"/>
      <c r="J113" s="6"/>
      <c r="K113" s="6"/>
    </row>
    <row r="114" spans="1:58" x14ac:dyDescent="0.15">
      <c r="H114" s="6"/>
      <c r="I114" s="6"/>
      <c r="J114" s="6"/>
      <c r="K114" s="6"/>
    </row>
    <row r="118" spans="1:58" x14ac:dyDescent="0.15">
      <c r="F118" s="107"/>
      <c r="G118" s="108"/>
    </row>
    <row r="120" spans="1:58" x14ac:dyDescent="0.15">
      <c r="R120" s="75"/>
    </row>
    <row r="124" spans="1:58" x14ac:dyDescent="0.15">
      <c r="F124" s="109"/>
      <c r="G124" s="34"/>
    </row>
    <row r="125" spans="1:58" x14ac:dyDescent="0.15">
      <c r="F125" s="109"/>
      <c r="G125" s="34"/>
    </row>
    <row r="126" spans="1:58" s="112" customFormat="1" x14ac:dyDescent="0.15">
      <c r="A126" s="110" t="s">
        <v>612</v>
      </c>
      <c r="B126" s="110"/>
      <c r="C126" s="110"/>
      <c r="D126" s="110"/>
      <c r="E126" s="110"/>
      <c r="F126" s="109"/>
      <c r="G126" s="34"/>
      <c r="H126" s="75"/>
      <c r="I126" s="75"/>
      <c r="J126" s="75"/>
      <c r="K126" s="75"/>
      <c r="L126" s="21"/>
      <c r="M126" s="21"/>
      <c r="N126" s="21"/>
      <c r="O126" s="21"/>
      <c r="P126" s="7"/>
      <c r="Q126" s="75"/>
      <c r="R126" s="110"/>
      <c r="S126" s="111"/>
      <c r="T126" s="111"/>
    </row>
    <row r="127" spans="1:58" s="21" customFormat="1" x14ac:dyDescent="0.15">
      <c r="A127" s="6"/>
      <c r="B127" s="6"/>
      <c r="C127" s="6"/>
      <c r="D127" s="6"/>
      <c r="E127" s="6"/>
      <c r="F127" s="109"/>
      <c r="G127" s="34"/>
      <c r="H127" s="75"/>
      <c r="I127" s="75"/>
      <c r="J127" s="75"/>
      <c r="K127" s="75"/>
      <c r="P127" s="7"/>
      <c r="Q127" s="75"/>
      <c r="R127" s="6"/>
      <c r="S127" s="14"/>
      <c r="T127" s="14"/>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row>
    <row r="128" spans="1:58" s="21" customFormat="1" x14ac:dyDescent="0.15">
      <c r="A128" s="113"/>
      <c r="B128" s="6"/>
      <c r="C128" s="6"/>
      <c r="D128" s="6"/>
      <c r="E128" s="6"/>
      <c r="F128" s="109"/>
      <c r="G128" s="34"/>
      <c r="H128" s="75"/>
      <c r="I128" s="75"/>
      <c r="J128" s="75"/>
      <c r="K128" s="75"/>
      <c r="P128" s="7"/>
      <c r="Q128" s="75"/>
      <c r="R128" s="6"/>
      <c r="S128" s="14"/>
      <c r="T128" s="14"/>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row>
    <row r="129" spans="1:58" s="21" customFormat="1" x14ac:dyDescent="0.15">
      <c r="A129" s="113"/>
      <c r="B129" s="6"/>
      <c r="C129" s="6"/>
      <c r="D129" s="6"/>
      <c r="E129" s="6"/>
      <c r="F129" s="109"/>
      <c r="G129" s="34"/>
      <c r="H129" s="75"/>
      <c r="I129" s="75"/>
      <c r="J129" s="75"/>
      <c r="K129" s="75"/>
      <c r="P129" s="7"/>
      <c r="Q129" s="75"/>
      <c r="R129" s="6"/>
      <c r="S129" s="14"/>
      <c r="T129" s="14"/>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row>
    <row r="130" spans="1:58" s="21" customFormat="1" x14ac:dyDescent="0.15">
      <c r="A130" s="113"/>
      <c r="B130" s="6"/>
      <c r="C130" s="6"/>
      <c r="D130" s="6"/>
      <c r="E130" s="6"/>
      <c r="F130" s="101"/>
      <c r="G130" s="102"/>
      <c r="H130" s="75"/>
      <c r="I130" s="75"/>
      <c r="J130" s="75"/>
      <c r="K130" s="75"/>
      <c r="P130" s="7"/>
      <c r="Q130" s="75"/>
      <c r="R130" s="6"/>
      <c r="S130" s="14"/>
      <c r="T130" s="14"/>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row>
    <row r="131" spans="1:58" s="21" customFormat="1" x14ac:dyDescent="0.15">
      <c r="A131" s="113"/>
      <c r="B131" s="6"/>
      <c r="C131" s="6"/>
      <c r="D131" s="6"/>
      <c r="E131" s="6"/>
      <c r="F131" s="101"/>
      <c r="G131" s="102"/>
      <c r="H131" s="75"/>
      <c r="I131" s="75"/>
      <c r="J131" s="75"/>
      <c r="K131" s="75"/>
      <c r="P131" s="7"/>
      <c r="Q131" s="75"/>
      <c r="R131" s="6"/>
      <c r="S131" s="14"/>
      <c r="T131" s="14"/>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row>
    <row r="132" spans="1:58" s="21" customFormat="1" x14ac:dyDescent="0.15">
      <c r="A132" s="113"/>
      <c r="B132" s="6"/>
      <c r="C132" s="6"/>
      <c r="D132" s="6"/>
      <c r="E132" s="6"/>
      <c r="F132" s="101"/>
      <c r="G132" s="102"/>
      <c r="H132" s="75"/>
      <c r="I132" s="75"/>
      <c r="J132" s="75"/>
      <c r="K132" s="75"/>
      <c r="P132" s="7"/>
      <c r="Q132" s="75"/>
      <c r="R132" s="6"/>
      <c r="S132" s="14"/>
      <c r="T132" s="14"/>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row>
    <row r="133" spans="1:58" s="21" customFormat="1" x14ac:dyDescent="0.15">
      <c r="A133" s="113"/>
      <c r="B133" s="6"/>
      <c r="C133" s="6"/>
      <c r="D133" s="6"/>
      <c r="E133" s="6"/>
      <c r="F133" s="101"/>
      <c r="G133" s="102"/>
      <c r="H133" s="75"/>
      <c r="I133" s="75"/>
      <c r="J133" s="75"/>
      <c r="K133" s="75"/>
      <c r="P133" s="7"/>
      <c r="Q133" s="75"/>
      <c r="R133" s="6"/>
      <c r="S133" s="14"/>
      <c r="T133" s="14"/>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row>
    <row r="134" spans="1:58" s="21" customFormat="1" x14ac:dyDescent="0.15">
      <c r="A134" s="113"/>
      <c r="B134" s="6"/>
      <c r="C134" s="6"/>
      <c r="D134" s="6"/>
      <c r="E134" s="6"/>
      <c r="F134" s="101"/>
      <c r="G134" s="102"/>
      <c r="H134" s="75"/>
      <c r="I134" s="75"/>
      <c r="J134" s="75"/>
      <c r="K134" s="75"/>
      <c r="P134" s="7"/>
      <c r="Q134" s="75"/>
      <c r="R134" s="6"/>
      <c r="S134" s="14"/>
      <c r="T134" s="14"/>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row>
    <row r="135" spans="1:58" s="21" customFormat="1" x14ac:dyDescent="0.15">
      <c r="A135" s="113"/>
      <c r="B135" s="6"/>
      <c r="C135" s="6"/>
      <c r="D135" s="6"/>
      <c r="E135" s="6"/>
      <c r="F135" s="101"/>
      <c r="G135" s="102"/>
      <c r="H135" s="75"/>
      <c r="I135" s="75"/>
      <c r="J135" s="75"/>
      <c r="K135" s="75"/>
      <c r="P135" s="7"/>
      <c r="Q135" s="75"/>
      <c r="R135" s="6"/>
      <c r="S135" s="14"/>
      <c r="T135" s="14"/>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row>
    <row r="136" spans="1:58" s="21" customFormat="1" x14ac:dyDescent="0.15">
      <c r="A136" s="113"/>
      <c r="B136" s="6"/>
      <c r="C136" s="6"/>
      <c r="D136" s="6"/>
      <c r="E136" s="6"/>
      <c r="F136" s="101"/>
      <c r="G136" s="102"/>
      <c r="H136" s="75"/>
      <c r="I136" s="75"/>
      <c r="J136" s="75"/>
      <c r="K136" s="75"/>
      <c r="P136" s="7"/>
      <c r="Q136" s="75"/>
      <c r="R136" s="6"/>
      <c r="S136" s="14"/>
      <c r="T136" s="14"/>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row>
    <row r="137" spans="1:58" s="21" customFormat="1" x14ac:dyDescent="0.15">
      <c r="A137" s="113"/>
      <c r="B137" s="6"/>
      <c r="C137" s="6"/>
      <c r="D137" s="6"/>
      <c r="E137" s="6"/>
      <c r="F137" s="101"/>
      <c r="G137" s="102"/>
      <c r="H137" s="75"/>
      <c r="I137" s="75"/>
      <c r="J137" s="75"/>
      <c r="K137" s="75"/>
      <c r="P137" s="7"/>
      <c r="Q137" s="75"/>
      <c r="R137" s="6"/>
      <c r="S137" s="14"/>
      <c r="T137" s="14"/>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row>
    <row r="138" spans="1:58" s="21" customFormat="1" x14ac:dyDescent="0.15">
      <c r="A138" s="113"/>
      <c r="B138" s="6"/>
      <c r="C138" s="6"/>
      <c r="D138" s="6"/>
      <c r="E138" s="6"/>
      <c r="F138" s="101"/>
      <c r="G138" s="102"/>
      <c r="H138" s="75"/>
      <c r="I138" s="75"/>
      <c r="J138" s="75"/>
      <c r="K138" s="75"/>
      <c r="P138" s="7"/>
      <c r="Q138" s="75"/>
      <c r="R138" s="6"/>
      <c r="S138" s="14"/>
      <c r="T138" s="14"/>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row>
    <row r="139" spans="1:58" s="21" customFormat="1" x14ac:dyDescent="0.15">
      <c r="A139" s="113"/>
      <c r="B139" s="6"/>
      <c r="C139" s="6"/>
      <c r="D139" s="6"/>
      <c r="E139" s="6"/>
      <c r="F139" s="101"/>
      <c r="G139" s="102"/>
      <c r="H139" s="75"/>
      <c r="I139" s="75"/>
      <c r="J139" s="75"/>
      <c r="K139" s="75"/>
      <c r="P139" s="7"/>
      <c r="Q139" s="75"/>
      <c r="R139" s="6"/>
      <c r="S139" s="14"/>
      <c r="T139" s="14"/>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row>
    <row r="140" spans="1:58" s="21" customFormat="1" x14ac:dyDescent="0.15">
      <c r="A140" s="113"/>
      <c r="B140" s="6"/>
      <c r="C140" s="6"/>
      <c r="D140" s="6"/>
      <c r="E140" s="6"/>
      <c r="F140" s="101"/>
      <c r="G140" s="102"/>
      <c r="H140" s="75"/>
      <c r="I140" s="75"/>
      <c r="J140" s="75"/>
      <c r="K140" s="75"/>
      <c r="P140" s="7"/>
      <c r="Q140" s="75"/>
      <c r="R140" s="6"/>
      <c r="S140" s="14"/>
      <c r="T140" s="14"/>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row>
    <row r="141" spans="1:58" s="21" customFormat="1" x14ac:dyDescent="0.15">
      <c r="A141" s="113"/>
      <c r="B141" s="6"/>
      <c r="C141" s="6"/>
      <c r="D141" s="6"/>
      <c r="E141" s="6"/>
      <c r="F141" s="101"/>
      <c r="G141" s="102"/>
      <c r="H141" s="75"/>
      <c r="I141" s="75"/>
      <c r="J141" s="75"/>
      <c r="K141" s="75"/>
      <c r="P141" s="7"/>
      <c r="Q141" s="75"/>
      <c r="R141" s="6"/>
      <c r="S141" s="14"/>
      <c r="T141" s="14"/>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row>
    <row r="142" spans="1:58" s="21" customFormat="1" x14ac:dyDescent="0.15">
      <c r="A142" s="113"/>
      <c r="B142" s="6"/>
      <c r="C142" s="6"/>
      <c r="D142" s="6"/>
      <c r="E142" s="6"/>
      <c r="F142" s="101"/>
      <c r="G142" s="102"/>
      <c r="H142" s="75"/>
      <c r="I142" s="75"/>
      <c r="J142" s="75"/>
      <c r="K142" s="75"/>
      <c r="P142" s="7"/>
      <c r="Q142" s="75"/>
      <c r="R142" s="6"/>
      <c r="S142" s="14"/>
      <c r="T142" s="14"/>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row>
    <row r="143" spans="1:58" x14ac:dyDescent="0.15">
      <c r="A143" s="113"/>
    </row>
    <row r="144" spans="1:58" x14ac:dyDescent="0.15">
      <c r="B144" s="6">
        <v>40985</v>
      </c>
      <c r="E144" s="6" t="s">
        <v>1549</v>
      </c>
      <c r="G144" s="102">
        <v>11</v>
      </c>
      <c r="H144" s="103">
        <v>10</v>
      </c>
      <c r="I144" s="103"/>
      <c r="J144" s="103"/>
      <c r="K144" s="103"/>
      <c r="L144" s="114"/>
      <c r="P144" s="149"/>
      <c r="Q144" s="104"/>
      <c r="R144" s="6">
        <v>6</v>
      </c>
      <c r="S144" s="14">
        <v>-4</v>
      </c>
      <c r="T144" s="14">
        <v>1.5509259259259261E-3</v>
      </c>
    </row>
    <row r="145" spans="1:23" x14ac:dyDescent="0.15">
      <c r="A145" s="113"/>
    </row>
    <row r="146" spans="1:23" x14ac:dyDescent="0.15">
      <c r="A146" s="113"/>
    </row>
    <row r="147" spans="1:23" x14ac:dyDescent="0.15">
      <c r="A147" s="113"/>
    </row>
    <row r="148" spans="1:23" x14ac:dyDescent="0.15">
      <c r="A148" s="113"/>
    </row>
    <row r="149" spans="1:23" x14ac:dyDescent="0.15">
      <c r="A149" s="113"/>
    </row>
    <row r="150" spans="1:23" x14ac:dyDescent="0.15">
      <c r="A150" s="113"/>
    </row>
    <row r="151" spans="1:23" x14ac:dyDescent="0.15">
      <c r="A151" s="113"/>
    </row>
    <row r="152" spans="1:23" x14ac:dyDescent="0.15">
      <c r="A152" s="113"/>
    </row>
    <row r="154" spans="1:23" x14ac:dyDescent="0.15">
      <c r="F154" s="71"/>
    </row>
    <row r="155" spans="1:23" x14ac:dyDescent="0.15">
      <c r="F155" s="71"/>
    </row>
    <row r="156" spans="1:23" x14ac:dyDescent="0.15">
      <c r="F156" s="107"/>
      <c r="G156" s="108"/>
    </row>
    <row r="159" spans="1:23" x14ac:dyDescent="0.15">
      <c r="A159" s="6" t="s">
        <v>196</v>
      </c>
      <c r="B159" s="6">
        <v>40990</v>
      </c>
      <c r="H159" s="104"/>
      <c r="I159" s="104"/>
      <c r="J159" s="104"/>
      <c r="K159" s="104">
        <v>9</v>
      </c>
      <c r="R159" s="6">
        <v>8</v>
      </c>
      <c r="S159" s="14">
        <v>-10</v>
      </c>
      <c r="T159" s="14">
        <v>1.0995370370370371E-3</v>
      </c>
      <c r="U159" s="13">
        <v>0</v>
      </c>
      <c r="V159" s="13" t="s">
        <v>625</v>
      </c>
      <c r="W159" s="13" t="s">
        <v>1281</v>
      </c>
    </row>
    <row r="180" spans="10:58" ht="13" x14ac:dyDescent="0.15">
      <c r="W180" s="19" t="s">
        <v>1712</v>
      </c>
    </row>
    <row r="182" spans="10:58" x14ac:dyDescent="0.15">
      <c r="J182" s="75" t="s">
        <v>961</v>
      </c>
      <c r="K182" s="75">
        <v>8</v>
      </c>
      <c r="R182" s="6">
        <v>6</v>
      </c>
      <c r="S182" s="14">
        <v>-6.25</v>
      </c>
      <c r="T182" s="14">
        <v>1.1689814814814816E-3</v>
      </c>
      <c r="U182" s="13">
        <v>80</v>
      </c>
      <c r="W182" s="13" t="s">
        <v>1715</v>
      </c>
    </row>
    <row r="183" spans="10:58" ht="13" x14ac:dyDescent="0.15">
      <c r="J183" s="75" t="s">
        <v>961</v>
      </c>
      <c r="R183" s="6">
        <v>2</v>
      </c>
      <c r="S183" s="115" t="s">
        <v>1202</v>
      </c>
      <c r="T183" s="14">
        <v>7.6388888888888893E-4</v>
      </c>
      <c r="U183" s="13">
        <v>4520</v>
      </c>
      <c r="W183" s="19" t="s">
        <v>1717</v>
      </c>
      <c r="BF183" s="13">
        <v>4</v>
      </c>
    </row>
    <row r="184" spans="10:58" ht="13" x14ac:dyDescent="0.15">
      <c r="R184" s="6">
        <v>1</v>
      </c>
      <c r="S184" s="14">
        <v>0.75</v>
      </c>
      <c r="T184" s="14">
        <v>1.1458333333333333E-3</v>
      </c>
      <c r="U184" s="13">
        <v>10980</v>
      </c>
      <c r="W184" s="19" t="s">
        <v>1720</v>
      </c>
      <c r="BE184" s="13">
        <v>4.2</v>
      </c>
      <c r="BF184" s="13">
        <v>3.2</v>
      </c>
    </row>
    <row r="190" spans="10:58" x14ac:dyDescent="0.15">
      <c r="L190" s="21">
        <v>30</v>
      </c>
    </row>
    <row r="194" spans="1:23" x14ac:dyDescent="0.15">
      <c r="A194" s="113"/>
      <c r="B194" s="6">
        <v>40999</v>
      </c>
      <c r="E194" s="6" t="s">
        <v>66</v>
      </c>
      <c r="F194" s="101" t="s">
        <v>1190</v>
      </c>
      <c r="G194" s="102">
        <v>3</v>
      </c>
      <c r="K194" s="75">
        <v>6</v>
      </c>
      <c r="L194" s="21">
        <v>6</v>
      </c>
      <c r="P194" s="7">
        <v>34000</v>
      </c>
    </row>
    <row r="195" spans="1:23" x14ac:dyDescent="0.15">
      <c r="L195" s="35"/>
    </row>
    <row r="197" spans="1:23" x14ac:dyDescent="0.15">
      <c r="B197" s="6">
        <v>41000</v>
      </c>
      <c r="E197" s="6" t="s">
        <v>1714</v>
      </c>
      <c r="G197" s="102">
        <v>10</v>
      </c>
      <c r="K197" s="75">
        <v>10</v>
      </c>
      <c r="L197" s="35"/>
      <c r="P197" s="7">
        <v>7600</v>
      </c>
      <c r="Q197" s="75" t="s">
        <v>197</v>
      </c>
    </row>
    <row r="203" spans="1:23" ht="13" x14ac:dyDescent="0.15">
      <c r="B203" s="6">
        <v>41013</v>
      </c>
      <c r="F203" s="116" t="s">
        <v>1718</v>
      </c>
      <c r="I203" s="117" t="s">
        <v>1360</v>
      </c>
      <c r="P203" s="7">
        <v>750000</v>
      </c>
      <c r="Q203" s="117" t="s">
        <v>1719</v>
      </c>
      <c r="W203" s="19" t="s">
        <v>376</v>
      </c>
    </row>
    <row r="272" spans="1:58" s="21" customFormat="1" ht="13" x14ac:dyDescent="0.15">
      <c r="A272" s="5" t="s">
        <v>355</v>
      </c>
      <c r="B272" s="6">
        <v>40997</v>
      </c>
      <c r="C272" s="5" t="s">
        <v>1035</v>
      </c>
      <c r="D272" s="6">
        <v>3</v>
      </c>
      <c r="E272" s="5" t="s">
        <v>662</v>
      </c>
      <c r="F272" s="101">
        <v>4.5138888888888892E-4</v>
      </c>
      <c r="G272" s="102"/>
      <c r="H272" s="75"/>
      <c r="I272" s="118" t="s">
        <v>1526</v>
      </c>
      <c r="J272" s="75"/>
      <c r="K272" s="75"/>
      <c r="P272" s="7"/>
      <c r="Q272" s="75"/>
      <c r="R272" s="6"/>
      <c r="S272" s="14"/>
      <c r="T272" s="14"/>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row>
    <row r="273" spans="1:58" s="21" customFormat="1" ht="13" x14ac:dyDescent="0.15">
      <c r="A273" s="5" t="s">
        <v>479</v>
      </c>
      <c r="B273" s="6">
        <v>40997</v>
      </c>
      <c r="C273" s="5" t="s">
        <v>1035</v>
      </c>
      <c r="D273" s="6">
        <v>4</v>
      </c>
      <c r="E273" s="5" t="s">
        <v>662</v>
      </c>
      <c r="F273" s="101">
        <v>5.7870370370370378E-4</v>
      </c>
      <c r="G273" s="102"/>
      <c r="H273" s="75"/>
      <c r="I273" s="118" t="s">
        <v>1210</v>
      </c>
      <c r="J273" s="75"/>
      <c r="K273" s="75"/>
      <c r="P273" s="7"/>
      <c r="Q273" s="75"/>
      <c r="R273" s="6"/>
      <c r="S273" s="14"/>
      <c r="T273" s="14"/>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row>
    <row r="274" spans="1:58" s="21" customFormat="1" ht="13" x14ac:dyDescent="0.15">
      <c r="A274" s="5" t="s">
        <v>375</v>
      </c>
      <c r="B274" s="6">
        <v>40997</v>
      </c>
      <c r="C274" s="5" t="s">
        <v>86</v>
      </c>
      <c r="D274" s="6">
        <v>4</v>
      </c>
      <c r="E274" s="5" t="s">
        <v>662</v>
      </c>
      <c r="F274" s="101">
        <v>5.5555555555555556E-4</v>
      </c>
      <c r="G274" s="102"/>
      <c r="H274" s="75"/>
      <c r="I274" s="118" t="s">
        <v>1204</v>
      </c>
      <c r="J274" s="75"/>
      <c r="K274" s="75"/>
      <c r="P274" s="7"/>
      <c r="Q274" s="75"/>
      <c r="R274" s="6"/>
      <c r="S274" s="14"/>
      <c r="T274" s="14"/>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row>
    <row r="275" spans="1:58" s="21" customFormat="1" ht="13" x14ac:dyDescent="0.15">
      <c r="A275" s="5" t="s">
        <v>1158</v>
      </c>
      <c r="B275" s="6">
        <v>40997</v>
      </c>
      <c r="C275" s="5" t="s">
        <v>797</v>
      </c>
      <c r="D275" s="6">
        <v>5</v>
      </c>
      <c r="E275" s="5" t="s">
        <v>758</v>
      </c>
      <c r="F275" s="101">
        <v>6.9444444444444447E-4</v>
      </c>
      <c r="G275" s="102"/>
      <c r="H275" s="75"/>
      <c r="I275" s="117" t="s">
        <v>1716</v>
      </c>
      <c r="J275" s="75"/>
      <c r="K275" s="75"/>
      <c r="P275" s="7"/>
      <c r="Q275" s="75"/>
      <c r="R275" s="6"/>
      <c r="S275" s="14"/>
      <c r="T275" s="14"/>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row>
    <row r="276" spans="1:58" s="21" customFormat="1" ht="13" x14ac:dyDescent="0.15">
      <c r="A276" s="5" t="s">
        <v>353</v>
      </c>
      <c r="B276" s="6">
        <v>40997</v>
      </c>
      <c r="C276" s="5" t="s">
        <v>797</v>
      </c>
      <c r="D276" s="6">
        <v>3</v>
      </c>
      <c r="E276" s="5" t="s">
        <v>758</v>
      </c>
      <c r="F276" s="101">
        <v>4.1666666666666669E-4</v>
      </c>
      <c r="G276" s="102"/>
      <c r="H276" s="117" t="s">
        <v>1249</v>
      </c>
      <c r="I276" s="118" t="s">
        <v>793</v>
      </c>
      <c r="J276" s="75"/>
      <c r="K276" s="75"/>
      <c r="P276" s="7"/>
      <c r="Q276" s="75"/>
      <c r="R276" s="6"/>
      <c r="S276" s="14"/>
      <c r="T276" s="14"/>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row>
    <row r="277" spans="1:58" s="21" customFormat="1" ht="13" x14ac:dyDescent="0.15">
      <c r="A277" s="5" t="s">
        <v>1528</v>
      </c>
      <c r="B277" s="6">
        <v>40997</v>
      </c>
      <c r="C277" s="5" t="s">
        <v>469</v>
      </c>
      <c r="D277" s="6">
        <v>6</v>
      </c>
      <c r="E277" s="5" t="s">
        <v>662</v>
      </c>
      <c r="F277" s="101">
        <v>8.6805555555555551E-4</v>
      </c>
      <c r="G277" s="102"/>
      <c r="H277" s="75"/>
      <c r="I277" s="118" t="s">
        <v>964</v>
      </c>
      <c r="J277" s="75"/>
      <c r="K277" s="75"/>
      <c r="P277" s="7"/>
      <c r="Q277" s="75"/>
      <c r="R277" s="6"/>
      <c r="S277" s="14"/>
      <c r="T277" s="14"/>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row>
  </sheetData>
  <sortState ref="A4:BD12">
    <sortCondition ref="A4"/>
  </sortState>
  <pageMargins left="0.7" right="0.7" top="0.75" bottom="0.75" header="0.3" footer="0.3"/>
  <pageSetup orientation="portrait"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42"/>
  <sheetViews>
    <sheetView workbookViewId="0">
      <pane ySplit="3" topLeftCell="A67" activePane="bottomLeft" state="frozen"/>
      <selection pane="bottomLeft" activeCell="G15" sqref="G15"/>
    </sheetView>
  </sheetViews>
  <sheetFormatPr baseColWidth="10" defaultColWidth="9.1640625" defaultRowHeight="12" x14ac:dyDescent="0.15"/>
  <cols>
    <col min="1" max="1" width="17.5" style="379" customWidth="1"/>
    <col min="2" max="2" width="12.83203125" style="379" customWidth="1"/>
    <col min="3" max="3" width="23.33203125" style="379" customWidth="1"/>
    <col min="4" max="4" width="18.5" style="379" customWidth="1"/>
    <col min="5" max="5" width="17.1640625" style="379" customWidth="1"/>
    <col min="6" max="6" width="10.5" style="374" customWidth="1"/>
    <col min="7" max="7" width="10.33203125" style="377" customWidth="1"/>
    <col min="8" max="8" width="4.1640625" style="375" customWidth="1"/>
    <col min="9" max="11" width="3.5" style="375" customWidth="1"/>
    <col min="12" max="12" width="9.5" style="375" customWidth="1"/>
    <col min="13" max="13" width="9.6640625" style="375" customWidth="1"/>
    <col min="14" max="15" width="9.5" style="375" customWidth="1"/>
    <col min="16" max="16" width="9.1640625" style="374"/>
    <col min="17" max="17" width="2.6640625" style="374" customWidth="1"/>
    <col min="18" max="18" width="9.1640625" style="374"/>
    <col min="19" max="19" width="11.5" style="373" customWidth="1"/>
    <col min="20" max="20" width="9.1640625" style="373"/>
    <col min="21" max="21" width="2.6640625" style="373" customWidth="1"/>
    <col min="22" max="16384" width="9.1640625" style="373"/>
  </cols>
  <sheetData>
    <row r="1" spans="1:56" ht="12" customHeight="1" x14ac:dyDescent="0.15"/>
    <row r="2" spans="1:56" ht="12" customHeight="1" x14ac:dyDescent="0.15">
      <c r="A2" s="414"/>
      <c r="F2" s="426"/>
      <c r="G2" s="410" t="s">
        <v>436</v>
      </c>
      <c r="K2" s="425"/>
      <c r="L2" s="410" t="s">
        <v>624</v>
      </c>
      <c r="M2" s="410"/>
      <c r="N2" s="410"/>
      <c r="O2" s="409"/>
      <c r="P2" s="409"/>
      <c r="S2" s="408"/>
      <c r="AA2" s="407"/>
    </row>
    <row r="3" spans="1:56" s="399" customFormat="1" ht="44" customHeight="1" thickBot="1" x14ac:dyDescent="0.2">
      <c r="A3" s="406" t="s">
        <v>720</v>
      </c>
      <c r="B3" s="406" t="s">
        <v>710</v>
      </c>
      <c r="C3" s="406" t="s">
        <v>844</v>
      </c>
      <c r="D3" s="406" t="s">
        <v>670</v>
      </c>
      <c r="E3" s="406" t="s">
        <v>310</v>
      </c>
      <c r="F3" s="402" t="s">
        <v>845</v>
      </c>
      <c r="G3" s="404" t="s">
        <v>635</v>
      </c>
      <c r="H3" s="402" t="s">
        <v>392</v>
      </c>
      <c r="I3" s="402" t="s">
        <v>393</v>
      </c>
      <c r="J3" s="402" t="s">
        <v>394</v>
      </c>
      <c r="K3" s="402" t="s">
        <v>395</v>
      </c>
      <c r="L3" s="402" t="s">
        <v>647</v>
      </c>
      <c r="M3" s="402" t="s">
        <v>1977</v>
      </c>
      <c r="N3" s="402" t="s">
        <v>120</v>
      </c>
      <c r="O3" s="402" t="s">
        <v>1242</v>
      </c>
      <c r="P3" s="401" t="s">
        <v>669</v>
      </c>
      <c r="Q3" s="400"/>
      <c r="R3" s="400"/>
    </row>
    <row r="4" spans="1:56" s="390" customFormat="1" ht="12" customHeight="1" thickTop="1" x14ac:dyDescent="0.15">
      <c r="A4" s="396" t="s">
        <v>3107</v>
      </c>
      <c r="B4" s="396" t="s">
        <v>2598</v>
      </c>
      <c r="C4" s="396" t="s">
        <v>3040</v>
      </c>
      <c r="D4" s="396" t="s">
        <v>3015</v>
      </c>
      <c r="E4" s="396" t="s">
        <v>3240</v>
      </c>
      <c r="F4" s="382">
        <v>41844</v>
      </c>
      <c r="G4" s="424"/>
      <c r="H4" s="423"/>
      <c r="I4" s="423"/>
      <c r="J4" s="423"/>
      <c r="K4" s="423"/>
      <c r="L4" s="422"/>
      <c r="M4" s="397"/>
      <c r="N4" s="422"/>
      <c r="O4" s="422"/>
      <c r="P4" s="393"/>
      <c r="Q4" s="393"/>
      <c r="R4" s="393"/>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73"/>
      <c r="AT4" s="373"/>
      <c r="AU4" s="373"/>
      <c r="AV4" s="373"/>
      <c r="AW4" s="373"/>
      <c r="AX4" s="373"/>
      <c r="AY4" s="373"/>
      <c r="AZ4" s="373"/>
      <c r="BA4" s="373"/>
      <c r="BB4" s="373"/>
      <c r="BC4" s="373"/>
      <c r="BD4" s="373"/>
    </row>
    <row r="5" spans="1:56" s="390" customFormat="1" ht="12" customHeight="1" x14ac:dyDescent="0.15">
      <c r="A5" s="396" t="s">
        <v>3108</v>
      </c>
      <c r="B5" s="396" t="s">
        <v>2598</v>
      </c>
      <c r="C5" s="396" t="s">
        <v>2977</v>
      </c>
      <c r="D5" s="396" t="s">
        <v>2614</v>
      </c>
      <c r="E5" s="396" t="s">
        <v>3241</v>
      </c>
      <c r="F5" s="382">
        <v>41906</v>
      </c>
      <c r="G5" s="398"/>
      <c r="H5" s="423"/>
      <c r="I5" s="423"/>
      <c r="J5" s="423"/>
      <c r="K5" s="423"/>
      <c r="L5" s="398"/>
      <c r="M5" s="398"/>
      <c r="N5" s="395"/>
      <c r="O5" s="394"/>
      <c r="P5" s="394"/>
      <c r="Q5" s="393"/>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73"/>
    </row>
    <row r="6" spans="1:56" s="390" customFormat="1" ht="12" customHeight="1" x14ac:dyDescent="0.15">
      <c r="A6" s="396" t="s">
        <v>3440</v>
      </c>
      <c r="B6" s="396" t="s">
        <v>2598</v>
      </c>
      <c r="C6" s="396" t="s">
        <v>3009</v>
      </c>
      <c r="D6" s="396" t="s">
        <v>2552</v>
      </c>
      <c r="E6" s="396" t="s">
        <v>2910</v>
      </c>
      <c r="F6" s="382">
        <v>41955</v>
      </c>
      <c r="G6" s="398"/>
      <c r="H6" s="423"/>
      <c r="I6" s="423"/>
      <c r="J6" s="423"/>
      <c r="K6" s="423"/>
      <c r="L6" s="398"/>
      <c r="M6" s="398"/>
      <c r="N6" s="395"/>
      <c r="O6" s="394"/>
      <c r="P6" s="394"/>
      <c r="Q6" s="393"/>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73"/>
    </row>
    <row r="7" spans="1:56" s="390" customFormat="1" ht="12" customHeight="1" x14ac:dyDescent="0.15">
      <c r="A7" s="396" t="s">
        <v>3109</v>
      </c>
      <c r="B7" s="396" t="s">
        <v>2589</v>
      </c>
      <c r="C7" s="396" t="s">
        <v>3038</v>
      </c>
      <c r="D7" s="396" t="s">
        <v>3037</v>
      </c>
      <c r="E7" s="396" t="s">
        <v>3242</v>
      </c>
      <c r="F7" s="382">
        <v>41849</v>
      </c>
      <c r="G7" s="424"/>
      <c r="H7" s="423"/>
      <c r="I7" s="423"/>
      <c r="J7" s="423"/>
      <c r="K7" s="423"/>
      <c r="L7" s="422"/>
      <c r="M7" s="397"/>
      <c r="N7" s="422"/>
      <c r="O7" s="422"/>
      <c r="P7" s="393"/>
      <c r="Q7" s="393"/>
      <c r="R7" s="393"/>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73"/>
      <c r="AT7" s="373"/>
      <c r="AU7" s="373"/>
      <c r="AV7" s="373"/>
      <c r="AW7" s="373"/>
      <c r="AX7" s="373"/>
      <c r="AY7" s="373"/>
      <c r="AZ7" s="373"/>
      <c r="BA7" s="373"/>
      <c r="BB7" s="373"/>
      <c r="BC7" s="373"/>
      <c r="BD7" s="373"/>
    </row>
    <row r="8" spans="1:56" s="390" customFormat="1" ht="12" customHeight="1" x14ac:dyDescent="0.15">
      <c r="A8" s="396" t="s">
        <v>3110</v>
      </c>
      <c r="B8" s="396" t="s">
        <v>2589</v>
      </c>
      <c r="C8" s="396" t="s">
        <v>3032</v>
      </c>
      <c r="D8" s="396" t="s">
        <v>3031</v>
      </c>
      <c r="E8" s="396" t="s">
        <v>2925</v>
      </c>
      <c r="F8" s="382">
        <v>41828</v>
      </c>
      <c r="G8" s="424"/>
      <c r="H8" s="423"/>
      <c r="I8" s="423"/>
      <c r="J8" s="423"/>
      <c r="K8" s="423"/>
      <c r="L8" s="422"/>
      <c r="M8" s="397"/>
      <c r="N8" s="422"/>
      <c r="O8" s="422"/>
      <c r="P8" s="393"/>
      <c r="Q8" s="393"/>
      <c r="R8" s="393"/>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73"/>
      <c r="AT8" s="373"/>
      <c r="AU8" s="373"/>
      <c r="AV8" s="373"/>
      <c r="AW8" s="373"/>
      <c r="AX8" s="373"/>
      <c r="AY8" s="373"/>
      <c r="AZ8" s="373"/>
      <c r="BA8" s="373"/>
      <c r="BB8" s="373"/>
      <c r="BC8" s="373"/>
      <c r="BD8" s="373"/>
    </row>
    <row r="9" spans="1:56" s="390" customFormat="1" ht="12" customHeight="1" x14ac:dyDescent="0.15">
      <c r="A9" s="396" t="s">
        <v>3111</v>
      </c>
      <c r="B9" s="396" t="s">
        <v>2589</v>
      </c>
      <c r="C9" s="396" t="s">
        <v>2974</v>
      </c>
      <c r="D9" s="396" t="s">
        <v>2705</v>
      </c>
      <c r="E9" s="396" t="s">
        <v>2936</v>
      </c>
      <c r="F9" s="382">
        <v>41905</v>
      </c>
      <c r="G9" s="424"/>
      <c r="H9" s="423"/>
      <c r="I9" s="423"/>
      <c r="J9" s="423"/>
      <c r="K9" s="423"/>
      <c r="L9" s="422"/>
      <c r="M9" s="397"/>
      <c r="N9" s="422"/>
      <c r="O9" s="422"/>
      <c r="P9" s="393"/>
      <c r="Q9" s="393"/>
      <c r="R9" s="393"/>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73"/>
      <c r="AT9" s="373"/>
      <c r="AU9" s="373"/>
      <c r="AV9" s="373"/>
      <c r="AW9" s="373"/>
      <c r="AX9" s="373"/>
      <c r="AY9" s="373"/>
      <c r="AZ9" s="373"/>
      <c r="BA9" s="373"/>
      <c r="BB9" s="373"/>
      <c r="BC9" s="373"/>
      <c r="BD9" s="373"/>
    </row>
    <row r="10" spans="1:56" s="390" customFormat="1" ht="12" customHeight="1" x14ac:dyDescent="0.15">
      <c r="A10" s="396" t="s">
        <v>3239</v>
      </c>
      <c r="B10" s="396" t="s">
        <v>2589</v>
      </c>
      <c r="C10" s="396" t="s">
        <v>2943</v>
      </c>
      <c r="D10" s="396" t="s">
        <v>2942</v>
      </c>
      <c r="E10" s="396" t="s">
        <v>2910</v>
      </c>
      <c r="F10" s="382">
        <v>41835</v>
      </c>
      <c r="G10" s="424"/>
      <c r="H10" s="423"/>
      <c r="I10" s="423"/>
      <c r="J10" s="423"/>
      <c r="K10" s="423"/>
      <c r="L10" s="422"/>
      <c r="M10" s="397"/>
      <c r="N10" s="422"/>
      <c r="O10" s="422"/>
      <c r="P10" s="393"/>
      <c r="Q10" s="393"/>
      <c r="R10" s="393"/>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73"/>
      <c r="AT10" s="373"/>
      <c r="AU10" s="373"/>
      <c r="AV10" s="373"/>
      <c r="AW10" s="373"/>
      <c r="AX10" s="373"/>
      <c r="AY10" s="373"/>
      <c r="AZ10" s="373"/>
      <c r="BA10" s="373"/>
      <c r="BB10" s="373"/>
      <c r="BC10" s="373"/>
      <c r="BD10" s="373"/>
    </row>
    <row r="11" spans="1:56" s="390" customFormat="1" ht="12" customHeight="1" x14ac:dyDescent="0.15">
      <c r="A11" s="396" t="s">
        <v>3441</v>
      </c>
      <c r="B11" s="396" t="s">
        <v>2598</v>
      </c>
      <c r="C11" s="396" t="s">
        <v>3027</v>
      </c>
      <c r="D11" s="396" t="s">
        <v>2560</v>
      </c>
      <c r="E11" s="396" t="s">
        <v>2910</v>
      </c>
      <c r="F11" s="382">
        <v>41860</v>
      </c>
      <c r="G11" s="424"/>
      <c r="H11" s="423"/>
      <c r="I11" s="423"/>
      <c r="J11" s="423"/>
      <c r="K11" s="423"/>
      <c r="L11" s="422"/>
      <c r="M11" s="397"/>
      <c r="N11" s="422"/>
      <c r="O11" s="422"/>
      <c r="P11" s="393"/>
      <c r="Q11" s="393"/>
      <c r="R11" s="393"/>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73"/>
      <c r="AT11" s="373"/>
      <c r="AU11" s="373"/>
      <c r="AV11" s="373"/>
      <c r="AW11" s="373"/>
      <c r="AX11" s="373"/>
      <c r="AY11" s="373"/>
      <c r="AZ11" s="373"/>
      <c r="BA11" s="373"/>
      <c r="BB11" s="373"/>
      <c r="BC11" s="373"/>
      <c r="BD11" s="373"/>
    </row>
    <row r="12" spans="1:56" s="390" customFormat="1" ht="12" customHeight="1" x14ac:dyDescent="0.15">
      <c r="A12" s="396" t="s">
        <v>3112</v>
      </c>
      <c r="B12" s="396" t="s">
        <v>2598</v>
      </c>
      <c r="C12" s="396" t="s">
        <v>3010</v>
      </c>
      <c r="D12" s="396" t="s">
        <v>2254</v>
      </c>
      <c r="E12" s="396" t="s">
        <v>3043</v>
      </c>
      <c r="F12" s="382">
        <v>41934</v>
      </c>
      <c r="G12" s="424"/>
      <c r="H12" s="423"/>
      <c r="I12" s="423"/>
      <c r="J12" s="423"/>
      <c r="K12" s="423"/>
      <c r="L12" s="422"/>
      <c r="M12" s="397"/>
      <c r="N12" s="422"/>
      <c r="O12" s="422"/>
      <c r="P12" s="393"/>
      <c r="Q12" s="393"/>
      <c r="R12" s="393"/>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73"/>
      <c r="AT12" s="373"/>
      <c r="AU12" s="373"/>
      <c r="AV12" s="373"/>
      <c r="AW12" s="373"/>
      <c r="AX12" s="373"/>
      <c r="AY12" s="373"/>
      <c r="AZ12" s="373"/>
      <c r="BA12" s="373"/>
      <c r="BB12" s="373"/>
      <c r="BC12" s="373"/>
      <c r="BD12" s="373"/>
    </row>
    <row r="13" spans="1:56" s="390" customFormat="1" ht="12" customHeight="1" x14ac:dyDescent="0.15">
      <c r="A13" s="396" t="s">
        <v>3063</v>
      </c>
      <c r="B13" s="396" t="s">
        <v>2589</v>
      </c>
      <c r="C13" s="396" t="s">
        <v>3062</v>
      </c>
      <c r="D13" s="396" t="s">
        <v>2738</v>
      </c>
      <c r="E13" s="396" t="s">
        <v>3043</v>
      </c>
      <c r="F13" s="382">
        <v>41863</v>
      </c>
      <c r="G13" s="424"/>
      <c r="H13" s="423"/>
      <c r="I13" s="423"/>
      <c r="J13" s="423"/>
      <c r="K13" s="423"/>
      <c r="L13" s="422"/>
      <c r="M13" s="397"/>
      <c r="N13" s="422"/>
      <c r="O13" s="422"/>
      <c r="P13" s="393"/>
      <c r="Q13" s="393"/>
      <c r="R13" s="393"/>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73"/>
      <c r="AT13" s="373"/>
      <c r="AU13" s="373"/>
      <c r="AV13" s="373"/>
      <c r="AW13" s="373"/>
      <c r="AX13" s="373"/>
      <c r="AY13" s="373"/>
      <c r="AZ13" s="373"/>
      <c r="BA13" s="373"/>
      <c r="BB13" s="373"/>
      <c r="BC13" s="373"/>
      <c r="BD13" s="373"/>
    </row>
    <row r="14" spans="1:56" s="390" customFormat="1" ht="12" customHeight="1" x14ac:dyDescent="0.15">
      <c r="A14" s="396" t="s">
        <v>3113</v>
      </c>
      <c r="B14" s="396" t="s">
        <v>2598</v>
      </c>
      <c r="C14" s="396" t="s">
        <v>3022</v>
      </c>
      <c r="D14" s="396" t="s">
        <v>3021</v>
      </c>
      <c r="E14" s="396" t="s">
        <v>2910</v>
      </c>
      <c r="F14" s="382">
        <v>41880</v>
      </c>
      <c r="G14" s="424"/>
      <c r="H14" s="423"/>
      <c r="I14" s="423"/>
      <c r="J14" s="423"/>
      <c r="K14" s="423"/>
      <c r="L14" s="422"/>
      <c r="M14" s="397"/>
      <c r="N14" s="422"/>
      <c r="O14" s="422"/>
      <c r="P14" s="393"/>
      <c r="Q14" s="393"/>
      <c r="R14" s="393"/>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73"/>
      <c r="AT14" s="373"/>
      <c r="AU14" s="373"/>
      <c r="AV14" s="373"/>
      <c r="AW14" s="373"/>
      <c r="AX14" s="373"/>
      <c r="AY14" s="373"/>
      <c r="AZ14" s="373"/>
      <c r="BA14" s="373"/>
      <c r="BB14" s="373"/>
      <c r="BC14" s="373"/>
      <c r="BD14" s="373"/>
    </row>
    <row r="15" spans="1:56" s="390" customFormat="1" ht="12" customHeight="1" x14ac:dyDescent="0.15">
      <c r="A15" s="396" t="s">
        <v>3061</v>
      </c>
      <c r="B15" s="396" t="s">
        <v>2589</v>
      </c>
      <c r="C15" s="396" t="s">
        <v>3060</v>
      </c>
      <c r="D15" s="396" t="s">
        <v>2763</v>
      </c>
      <c r="E15" s="396" t="s">
        <v>2920</v>
      </c>
      <c r="F15" s="382">
        <v>41865</v>
      </c>
      <c r="G15" s="424"/>
      <c r="H15" s="423"/>
      <c r="I15" s="423"/>
      <c r="J15" s="423"/>
      <c r="K15" s="423"/>
      <c r="L15" s="422"/>
      <c r="M15" s="397"/>
      <c r="N15" s="422"/>
      <c r="O15" s="422"/>
      <c r="P15" s="393"/>
      <c r="Q15" s="393"/>
      <c r="R15" s="393"/>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73"/>
      <c r="AT15" s="373"/>
      <c r="AU15" s="373"/>
      <c r="AV15" s="373"/>
      <c r="AW15" s="373"/>
      <c r="AX15" s="373"/>
      <c r="AY15" s="373"/>
      <c r="AZ15" s="373"/>
      <c r="BA15" s="373"/>
      <c r="BB15" s="373"/>
      <c r="BC15" s="373"/>
      <c r="BD15" s="373"/>
    </row>
    <row r="16" spans="1:56" s="390" customFormat="1" ht="12" customHeight="1" x14ac:dyDescent="0.15">
      <c r="A16" s="396" t="s">
        <v>3214</v>
      </c>
      <c r="B16" s="396" t="s">
        <v>2589</v>
      </c>
      <c r="C16" s="396" t="s">
        <v>2692</v>
      </c>
      <c r="D16" s="396" t="s">
        <v>2884</v>
      </c>
      <c r="E16" s="396" t="s">
        <v>3048</v>
      </c>
      <c r="F16" s="382">
        <v>41960</v>
      </c>
      <c r="G16" s="424"/>
      <c r="H16" s="423"/>
      <c r="I16" s="423"/>
      <c r="J16" s="423"/>
      <c r="K16" s="423"/>
      <c r="L16" s="422"/>
      <c r="M16" s="397"/>
      <c r="N16" s="422"/>
      <c r="O16" s="422"/>
      <c r="P16" s="393"/>
      <c r="Q16" s="393"/>
      <c r="R16" s="393"/>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73"/>
      <c r="AT16" s="373"/>
      <c r="AU16" s="373"/>
      <c r="AV16" s="373"/>
      <c r="AW16" s="373"/>
      <c r="AX16" s="373"/>
      <c r="AY16" s="373"/>
      <c r="AZ16" s="373"/>
      <c r="BA16" s="373"/>
      <c r="BB16" s="373"/>
      <c r="BC16" s="373"/>
      <c r="BD16" s="373"/>
    </row>
    <row r="17" spans="1:56" s="390" customFormat="1" ht="12" customHeight="1" x14ac:dyDescent="0.15">
      <c r="A17" s="396" t="s">
        <v>3114</v>
      </c>
      <c r="B17" s="396" t="s">
        <v>2598</v>
      </c>
      <c r="C17" s="396" t="s">
        <v>2953</v>
      </c>
      <c r="D17" s="396" t="s">
        <v>2952</v>
      </c>
      <c r="E17" s="396" t="s">
        <v>3243</v>
      </c>
      <c r="F17" s="382">
        <v>41897</v>
      </c>
      <c r="G17" s="424"/>
      <c r="H17" s="423"/>
      <c r="I17" s="423"/>
      <c r="J17" s="423"/>
      <c r="K17" s="423"/>
      <c r="L17" s="422"/>
      <c r="M17" s="397"/>
      <c r="N17" s="422"/>
      <c r="O17" s="422"/>
      <c r="P17" s="393"/>
      <c r="Q17" s="393"/>
      <c r="R17" s="393"/>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73"/>
      <c r="AT17" s="373"/>
      <c r="AU17" s="373"/>
      <c r="AV17" s="373"/>
      <c r="AW17" s="373"/>
      <c r="AX17" s="373"/>
      <c r="AY17" s="373"/>
      <c r="AZ17" s="373"/>
      <c r="BA17" s="373"/>
      <c r="BB17" s="373"/>
      <c r="BC17" s="373"/>
      <c r="BD17" s="373"/>
    </row>
    <row r="18" spans="1:56" s="390" customFormat="1" ht="12" customHeight="1" x14ac:dyDescent="0.15">
      <c r="A18" s="396" t="s">
        <v>3115</v>
      </c>
      <c r="B18" s="396" t="s">
        <v>2598</v>
      </c>
      <c r="C18" s="396" t="s">
        <v>3025</v>
      </c>
      <c r="D18" s="396" t="s">
        <v>2982</v>
      </c>
      <c r="E18" s="396" t="s">
        <v>3244</v>
      </c>
      <c r="F18" s="382">
        <v>41899</v>
      </c>
      <c r="G18" s="424"/>
      <c r="H18" s="423"/>
      <c r="I18" s="423"/>
      <c r="J18" s="423"/>
      <c r="K18" s="423"/>
      <c r="L18" s="422"/>
      <c r="M18" s="397"/>
      <c r="N18" s="422"/>
      <c r="O18" s="422"/>
      <c r="P18" s="393"/>
      <c r="Q18" s="393"/>
      <c r="R18" s="393"/>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73"/>
      <c r="AT18" s="373"/>
      <c r="AU18" s="373"/>
      <c r="AV18" s="373"/>
      <c r="AW18" s="373"/>
      <c r="AX18" s="373"/>
      <c r="AY18" s="373"/>
      <c r="AZ18" s="373"/>
      <c r="BA18" s="373"/>
      <c r="BB18" s="373"/>
      <c r="BC18" s="373"/>
      <c r="BD18" s="373"/>
    </row>
    <row r="19" spans="1:56" s="390" customFormat="1" ht="12" customHeight="1" x14ac:dyDescent="0.15">
      <c r="A19" s="396" t="s">
        <v>3442</v>
      </c>
      <c r="B19" s="396" t="s">
        <v>2598</v>
      </c>
      <c r="C19" s="396" t="s">
        <v>2951</v>
      </c>
      <c r="D19" s="396" t="s">
        <v>2610</v>
      </c>
      <c r="E19" s="396" t="s">
        <v>2910</v>
      </c>
      <c r="F19" s="382">
        <v>41933</v>
      </c>
      <c r="G19" s="424"/>
      <c r="H19" s="423"/>
      <c r="I19" s="423"/>
      <c r="J19" s="423"/>
      <c r="K19" s="423"/>
      <c r="L19" s="422"/>
      <c r="M19" s="397"/>
      <c r="N19" s="422"/>
      <c r="O19" s="422"/>
      <c r="P19" s="393"/>
      <c r="Q19" s="393"/>
      <c r="R19" s="393"/>
      <c r="S19" s="392"/>
      <c r="T19" s="392"/>
      <c r="U19" s="392"/>
      <c r="V19" s="392"/>
      <c r="W19" s="392"/>
      <c r="X19" s="392"/>
      <c r="Y19" s="392"/>
      <c r="Z19" s="392"/>
      <c r="AA19" s="392"/>
      <c r="AB19" s="392"/>
      <c r="AC19" s="392"/>
      <c r="AD19" s="392"/>
      <c r="AE19" s="392"/>
      <c r="AF19" s="392"/>
      <c r="AG19" s="392"/>
      <c r="AH19" s="392"/>
      <c r="AI19" s="392"/>
      <c r="AJ19" s="392"/>
      <c r="AK19" s="392"/>
      <c r="AL19" s="392"/>
      <c r="AM19" s="392"/>
      <c r="AN19" s="392"/>
      <c r="AO19" s="392"/>
      <c r="AP19" s="392"/>
      <c r="AQ19" s="392"/>
      <c r="AR19" s="392"/>
      <c r="AS19" s="373"/>
      <c r="AT19" s="373"/>
      <c r="AU19" s="373"/>
      <c r="AV19" s="373"/>
      <c r="AW19" s="373"/>
      <c r="AX19" s="373"/>
      <c r="AY19" s="373"/>
      <c r="AZ19" s="373"/>
      <c r="BA19" s="373"/>
      <c r="BB19" s="373"/>
      <c r="BC19" s="373"/>
      <c r="BD19" s="373"/>
    </row>
    <row r="20" spans="1:56" s="390" customFormat="1" ht="12" customHeight="1" x14ac:dyDescent="0.15">
      <c r="A20" s="396" t="s">
        <v>3216</v>
      </c>
      <c r="B20" s="396" t="s">
        <v>2589</v>
      </c>
      <c r="C20" s="396" t="s">
        <v>2965</v>
      </c>
      <c r="D20" s="396" t="s">
        <v>2954</v>
      </c>
      <c r="E20" s="396" t="s">
        <v>3215</v>
      </c>
      <c r="F20" s="382">
        <v>41902</v>
      </c>
      <c r="G20" s="424"/>
      <c r="H20" s="423"/>
      <c r="I20" s="423"/>
      <c r="J20" s="423"/>
      <c r="K20" s="423"/>
      <c r="L20" s="422"/>
      <c r="M20" s="397"/>
      <c r="N20" s="422"/>
      <c r="O20" s="422"/>
      <c r="P20" s="393"/>
      <c r="Q20" s="393"/>
      <c r="R20" s="393"/>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73"/>
      <c r="AT20" s="373"/>
      <c r="AU20" s="373"/>
      <c r="AV20" s="373"/>
      <c r="AW20" s="373"/>
      <c r="AX20" s="373"/>
      <c r="AY20" s="373"/>
      <c r="AZ20" s="373"/>
      <c r="BA20" s="373"/>
      <c r="BB20" s="373"/>
      <c r="BC20" s="373"/>
      <c r="BD20" s="373"/>
    </row>
    <row r="21" spans="1:56" s="390" customFormat="1" ht="12" customHeight="1" x14ac:dyDescent="0.15">
      <c r="A21" s="396" t="s">
        <v>3059</v>
      </c>
      <c r="B21" s="396" t="s">
        <v>2598</v>
      </c>
      <c r="C21" s="396" t="s">
        <v>2807</v>
      </c>
      <c r="D21" s="396" t="s">
        <v>3058</v>
      </c>
      <c r="E21" s="396" t="s">
        <v>3057</v>
      </c>
      <c r="F21" s="382">
        <v>41855</v>
      </c>
      <c r="G21" s="424"/>
      <c r="H21" s="423"/>
      <c r="I21" s="423"/>
      <c r="J21" s="423"/>
      <c r="K21" s="423"/>
      <c r="L21" s="422"/>
      <c r="M21" s="397"/>
      <c r="N21" s="422"/>
      <c r="O21" s="422"/>
      <c r="P21" s="393"/>
      <c r="Q21" s="393"/>
      <c r="R21" s="393"/>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73"/>
      <c r="AT21" s="373"/>
      <c r="AU21" s="373"/>
      <c r="AV21" s="373"/>
      <c r="AW21" s="373"/>
      <c r="AX21" s="373"/>
      <c r="AY21" s="373"/>
      <c r="AZ21" s="373"/>
      <c r="BA21" s="373"/>
      <c r="BB21" s="373"/>
      <c r="BC21" s="373"/>
      <c r="BD21" s="373"/>
    </row>
    <row r="22" spans="1:56" s="390" customFormat="1" ht="12" customHeight="1" x14ac:dyDescent="0.15">
      <c r="A22" s="396" t="s">
        <v>3118</v>
      </c>
      <c r="B22" s="396" t="s">
        <v>2598</v>
      </c>
      <c r="C22" s="396" t="s">
        <v>2981</v>
      </c>
      <c r="D22" s="396" t="s">
        <v>2980</v>
      </c>
      <c r="E22" s="396" t="s">
        <v>2936</v>
      </c>
      <c r="F22" s="382">
        <v>41942</v>
      </c>
      <c r="G22" s="424"/>
      <c r="H22" s="423"/>
      <c r="I22" s="423"/>
      <c r="J22" s="423"/>
      <c r="K22" s="423"/>
      <c r="L22" s="422"/>
      <c r="M22" s="397"/>
      <c r="N22" s="422"/>
      <c r="O22" s="422"/>
      <c r="P22" s="393"/>
      <c r="Q22" s="393"/>
      <c r="R22" s="393"/>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73"/>
      <c r="AT22" s="373"/>
      <c r="AU22" s="373"/>
      <c r="AV22" s="373"/>
      <c r="AW22" s="373"/>
      <c r="AX22" s="373"/>
      <c r="AY22" s="373"/>
      <c r="AZ22" s="373"/>
      <c r="BA22" s="373"/>
      <c r="BB22" s="373"/>
      <c r="BC22" s="373"/>
      <c r="BD22" s="373"/>
    </row>
    <row r="23" spans="1:56" s="390" customFormat="1" ht="12" customHeight="1" x14ac:dyDescent="0.15">
      <c r="A23" s="396" t="s">
        <v>3119</v>
      </c>
      <c r="B23" s="396" t="s">
        <v>2589</v>
      </c>
      <c r="C23" s="396" t="s">
        <v>2671</v>
      </c>
      <c r="D23" s="396" t="s">
        <v>2670</v>
      </c>
      <c r="E23" s="396" t="s">
        <v>3247</v>
      </c>
      <c r="F23" s="382">
        <v>41925</v>
      </c>
      <c r="G23" s="424"/>
      <c r="H23" s="423"/>
      <c r="I23" s="423"/>
      <c r="J23" s="423"/>
      <c r="K23" s="423"/>
      <c r="L23" s="422"/>
      <c r="M23" s="397"/>
      <c r="N23" s="422"/>
      <c r="O23" s="422"/>
      <c r="P23" s="393"/>
      <c r="Q23" s="393"/>
      <c r="R23" s="393"/>
      <c r="S23" s="392"/>
      <c r="T23" s="392"/>
      <c r="U23" s="392"/>
      <c r="V23" s="392"/>
      <c r="W23" s="392"/>
      <c r="X23" s="392"/>
      <c r="Y23" s="392"/>
      <c r="Z23" s="392"/>
      <c r="AA23" s="392"/>
      <c r="AB23" s="392"/>
      <c r="AC23" s="392"/>
      <c r="AD23" s="392"/>
      <c r="AE23" s="392"/>
      <c r="AF23" s="392"/>
      <c r="AG23" s="392"/>
      <c r="AH23" s="392"/>
      <c r="AI23" s="392"/>
      <c r="AJ23" s="392"/>
      <c r="AK23" s="392"/>
      <c r="AL23" s="392"/>
      <c r="AM23" s="392"/>
      <c r="AN23" s="392"/>
      <c r="AO23" s="392"/>
      <c r="AP23" s="392"/>
      <c r="AQ23" s="392"/>
      <c r="AR23" s="392"/>
      <c r="AS23" s="373"/>
      <c r="AT23" s="373"/>
      <c r="AU23" s="373"/>
      <c r="AV23" s="373"/>
      <c r="AW23" s="373"/>
      <c r="AX23" s="373"/>
      <c r="AY23" s="373"/>
      <c r="AZ23" s="373"/>
      <c r="BA23" s="373"/>
      <c r="BB23" s="373"/>
      <c r="BC23" s="373"/>
      <c r="BD23" s="373"/>
    </row>
    <row r="24" spans="1:56" s="390" customFormat="1" ht="12" customHeight="1" x14ac:dyDescent="0.15">
      <c r="A24" s="396" t="s">
        <v>3056</v>
      </c>
      <c r="B24" s="396" t="s">
        <v>2598</v>
      </c>
      <c r="C24" s="396" t="s">
        <v>2636</v>
      </c>
      <c r="D24" s="396" t="s">
        <v>2635</v>
      </c>
      <c r="E24" s="396" t="s">
        <v>3048</v>
      </c>
      <c r="F24" s="382">
        <v>41852</v>
      </c>
      <c r="G24" s="424"/>
      <c r="H24" s="423"/>
      <c r="I24" s="423"/>
      <c r="J24" s="423"/>
      <c r="K24" s="423"/>
      <c r="L24" s="422"/>
      <c r="M24" s="397"/>
      <c r="N24" s="422"/>
      <c r="O24" s="422"/>
      <c r="P24" s="393"/>
      <c r="Q24" s="393"/>
      <c r="R24" s="393"/>
      <c r="S24" s="392"/>
      <c r="T24" s="392"/>
      <c r="U24" s="392"/>
      <c r="V24" s="392"/>
      <c r="W24" s="392"/>
      <c r="X24" s="392"/>
      <c r="Y24" s="392"/>
      <c r="Z24" s="392"/>
      <c r="AA24" s="392"/>
      <c r="AB24" s="392"/>
      <c r="AC24" s="392"/>
      <c r="AD24" s="392"/>
      <c r="AE24" s="392"/>
      <c r="AF24" s="392"/>
      <c r="AG24" s="392"/>
      <c r="AH24" s="392"/>
      <c r="AI24" s="392"/>
      <c r="AJ24" s="392"/>
      <c r="AK24" s="392"/>
      <c r="AL24" s="392"/>
      <c r="AM24" s="392"/>
      <c r="AN24" s="392"/>
      <c r="AO24" s="392"/>
      <c r="AP24" s="392"/>
      <c r="AQ24" s="392"/>
      <c r="AR24" s="392"/>
      <c r="AS24" s="373"/>
      <c r="AT24" s="373"/>
      <c r="AU24" s="373"/>
      <c r="AV24" s="373"/>
      <c r="AW24" s="373"/>
      <c r="AX24" s="373"/>
      <c r="AY24" s="373"/>
      <c r="AZ24" s="373"/>
      <c r="BA24" s="373"/>
      <c r="BB24" s="373"/>
      <c r="BC24" s="373"/>
      <c r="BD24" s="373"/>
    </row>
    <row r="25" spans="1:56" s="390" customFormat="1" ht="12" customHeight="1" x14ac:dyDescent="0.15">
      <c r="A25" s="396" t="s">
        <v>3120</v>
      </c>
      <c r="B25" s="396" t="s">
        <v>2598</v>
      </c>
      <c r="C25" s="396" t="s">
        <v>2876</v>
      </c>
      <c r="D25" s="396" t="s">
        <v>2875</v>
      </c>
      <c r="E25" s="396" t="s">
        <v>3048</v>
      </c>
      <c r="F25" s="382">
        <v>41942</v>
      </c>
      <c r="G25" s="424"/>
      <c r="H25" s="423"/>
      <c r="I25" s="423"/>
      <c r="J25" s="423"/>
      <c r="K25" s="423"/>
      <c r="L25" s="422"/>
      <c r="M25" s="397"/>
      <c r="N25" s="422"/>
      <c r="O25" s="422"/>
      <c r="P25" s="393"/>
      <c r="Q25" s="393"/>
      <c r="R25" s="393"/>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392"/>
      <c r="AP25" s="392"/>
      <c r="AQ25" s="392"/>
      <c r="AR25" s="392"/>
      <c r="AS25" s="373"/>
      <c r="AT25" s="373"/>
      <c r="AU25" s="373"/>
      <c r="AV25" s="373"/>
      <c r="AW25" s="373"/>
      <c r="AX25" s="373"/>
      <c r="AY25" s="373"/>
      <c r="AZ25" s="373"/>
      <c r="BA25" s="373"/>
      <c r="BB25" s="373"/>
      <c r="BC25" s="373"/>
      <c r="BD25" s="373"/>
    </row>
    <row r="26" spans="1:56" s="390" customFormat="1" ht="12" customHeight="1" x14ac:dyDescent="0.15">
      <c r="A26" s="396" t="s">
        <v>3055</v>
      </c>
      <c r="B26" s="396" t="s">
        <v>2598</v>
      </c>
      <c r="C26" s="396" t="s">
        <v>2819</v>
      </c>
      <c r="D26" s="396" t="s">
        <v>1061</v>
      </c>
      <c r="E26" s="396" t="s">
        <v>3048</v>
      </c>
      <c r="F26" s="382">
        <v>41857</v>
      </c>
      <c r="G26" s="424"/>
      <c r="H26" s="423"/>
      <c r="I26" s="423"/>
      <c r="J26" s="423"/>
      <c r="K26" s="423"/>
      <c r="L26" s="422"/>
      <c r="M26" s="397"/>
      <c r="N26" s="422"/>
      <c r="O26" s="422"/>
      <c r="P26" s="393"/>
      <c r="Q26" s="393"/>
      <c r="R26" s="393"/>
      <c r="S26" s="392"/>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2"/>
      <c r="AQ26" s="392"/>
      <c r="AR26" s="392"/>
      <c r="AS26" s="373"/>
      <c r="AT26" s="373"/>
      <c r="AU26" s="373"/>
      <c r="AV26" s="373"/>
      <c r="AW26" s="373"/>
      <c r="AX26" s="373"/>
      <c r="AY26" s="373"/>
      <c r="AZ26" s="373"/>
      <c r="BA26" s="373"/>
      <c r="BB26" s="373"/>
      <c r="BC26" s="373"/>
      <c r="BD26" s="373"/>
    </row>
    <row r="27" spans="1:56" s="390" customFormat="1" ht="12" customHeight="1" x14ac:dyDescent="0.15">
      <c r="A27" s="396" t="s">
        <v>3054</v>
      </c>
      <c r="B27" s="396" t="s">
        <v>2598</v>
      </c>
      <c r="C27" s="396" t="s">
        <v>2886</v>
      </c>
      <c r="D27" s="396" t="s">
        <v>2738</v>
      </c>
      <c r="E27" s="396" t="s">
        <v>3048</v>
      </c>
      <c r="F27" s="382">
        <v>41850</v>
      </c>
      <c r="G27" s="424"/>
      <c r="H27" s="423"/>
      <c r="I27" s="423"/>
      <c r="J27" s="423"/>
      <c r="K27" s="423"/>
      <c r="L27" s="422"/>
      <c r="M27" s="397"/>
      <c r="N27" s="422"/>
      <c r="O27" s="422"/>
      <c r="P27" s="393"/>
      <c r="Q27" s="393"/>
      <c r="R27" s="393"/>
      <c r="S27" s="392"/>
      <c r="T27" s="392"/>
      <c r="U27" s="392"/>
      <c r="V27" s="392"/>
      <c r="W27" s="392"/>
      <c r="X27" s="392"/>
      <c r="Y27" s="392"/>
      <c r="Z27" s="392"/>
      <c r="AA27" s="392"/>
      <c r="AB27" s="392"/>
      <c r="AC27" s="392"/>
      <c r="AD27" s="392"/>
      <c r="AE27" s="392"/>
      <c r="AF27" s="392"/>
      <c r="AG27" s="392"/>
      <c r="AH27" s="392"/>
      <c r="AI27" s="392"/>
      <c r="AJ27" s="392"/>
      <c r="AK27" s="392"/>
      <c r="AL27" s="392"/>
      <c r="AM27" s="392"/>
      <c r="AN27" s="392"/>
      <c r="AO27" s="392"/>
      <c r="AP27" s="392"/>
      <c r="AQ27" s="392"/>
      <c r="AR27" s="392"/>
      <c r="AS27" s="373"/>
      <c r="AT27" s="373"/>
      <c r="AU27" s="373"/>
      <c r="AV27" s="373"/>
      <c r="AW27" s="373"/>
      <c r="AX27" s="373"/>
      <c r="AY27" s="373"/>
      <c r="AZ27" s="373"/>
      <c r="BA27" s="373"/>
      <c r="BB27" s="373"/>
      <c r="BC27" s="373"/>
      <c r="BD27" s="373"/>
    </row>
    <row r="28" spans="1:56" s="390" customFormat="1" ht="12" customHeight="1" x14ac:dyDescent="0.15">
      <c r="A28" s="396" t="s">
        <v>3121</v>
      </c>
      <c r="B28" s="396" t="s">
        <v>2598</v>
      </c>
      <c r="C28" s="396" t="s">
        <v>3008</v>
      </c>
      <c r="D28" s="396" t="s">
        <v>1027</v>
      </c>
      <c r="E28" s="396" t="s">
        <v>3048</v>
      </c>
      <c r="F28" s="382">
        <v>41932</v>
      </c>
      <c r="G28" s="424"/>
      <c r="H28" s="423"/>
      <c r="I28" s="423"/>
      <c r="J28" s="423"/>
      <c r="K28" s="423"/>
      <c r="L28" s="422"/>
      <c r="M28" s="397"/>
      <c r="N28" s="422"/>
      <c r="O28" s="422"/>
      <c r="P28" s="393"/>
      <c r="Q28" s="393"/>
      <c r="R28" s="393"/>
      <c r="S28" s="392"/>
      <c r="T28" s="392"/>
      <c r="U28" s="392"/>
      <c r="V28" s="392"/>
      <c r="W28" s="392"/>
      <c r="X28" s="392"/>
      <c r="Y28" s="392"/>
      <c r="Z28" s="392"/>
      <c r="AA28" s="392"/>
      <c r="AB28" s="392"/>
      <c r="AC28" s="392"/>
      <c r="AD28" s="392"/>
      <c r="AE28" s="392"/>
      <c r="AF28" s="392"/>
      <c r="AG28" s="392"/>
      <c r="AH28" s="392"/>
      <c r="AI28" s="392"/>
      <c r="AJ28" s="392"/>
      <c r="AK28" s="392"/>
      <c r="AL28" s="392"/>
      <c r="AM28" s="392"/>
      <c r="AN28" s="392"/>
      <c r="AO28" s="392"/>
      <c r="AP28" s="392"/>
      <c r="AQ28" s="392"/>
      <c r="AR28" s="392"/>
      <c r="AS28" s="373"/>
      <c r="AT28" s="373"/>
      <c r="AU28" s="373"/>
      <c r="AV28" s="373"/>
      <c r="AW28" s="373"/>
      <c r="AX28" s="373"/>
      <c r="AY28" s="373"/>
      <c r="AZ28" s="373"/>
      <c r="BA28" s="373"/>
      <c r="BB28" s="373"/>
      <c r="BC28" s="373"/>
      <c r="BD28" s="373"/>
    </row>
    <row r="29" spans="1:56" s="390" customFormat="1" ht="12" customHeight="1" x14ac:dyDescent="0.15">
      <c r="A29" s="396" t="s">
        <v>3122</v>
      </c>
      <c r="B29" s="396" t="s">
        <v>2589</v>
      </c>
      <c r="C29" s="396" t="s">
        <v>2969</v>
      </c>
      <c r="D29" s="396" t="s">
        <v>2643</v>
      </c>
      <c r="E29" s="396" t="s">
        <v>3048</v>
      </c>
      <c r="F29" s="382">
        <v>41937</v>
      </c>
      <c r="G29" s="424"/>
      <c r="H29" s="423"/>
      <c r="I29" s="423"/>
      <c r="J29" s="423"/>
      <c r="K29" s="423"/>
      <c r="L29" s="422"/>
      <c r="M29" s="397"/>
      <c r="N29" s="422"/>
      <c r="O29" s="422"/>
      <c r="P29" s="393"/>
      <c r="Q29" s="393"/>
      <c r="R29" s="393"/>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2"/>
      <c r="AS29" s="373"/>
      <c r="AT29" s="373"/>
      <c r="AU29" s="373"/>
      <c r="AV29" s="373"/>
      <c r="AW29" s="373"/>
      <c r="AX29" s="373"/>
      <c r="AY29" s="373"/>
      <c r="AZ29" s="373"/>
      <c r="BA29" s="373"/>
      <c r="BB29" s="373"/>
      <c r="BC29" s="373"/>
      <c r="BD29" s="373"/>
    </row>
    <row r="30" spans="1:56" s="390" customFormat="1" ht="12" customHeight="1" x14ac:dyDescent="0.15">
      <c r="A30" s="396" t="s">
        <v>3123</v>
      </c>
      <c r="B30" s="396" t="s">
        <v>2598</v>
      </c>
      <c r="C30" s="396" t="s">
        <v>2836</v>
      </c>
      <c r="D30" s="396" t="s">
        <v>2639</v>
      </c>
      <c r="E30" s="396" t="s">
        <v>3048</v>
      </c>
      <c r="F30" s="382">
        <v>41905</v>
      </c>
      <c r="G30" s="424"/>
      <c r="H30" s="423"/>
      <c r="I30" s="423"/>
      <c r="J30" s="423"/>
      <c r="K30" s="423"/>
      <c r="L30" s="422"/>
      <c r="M30" s="397"/>
      <c r="N30" s="422"/>
      <c r="O30" s="422"/>
      <c r="P30" s="393"/>
      <c r="Q30" s="393"/>
      <c r="R30" s="393"/>
      <c r="S30" s="392"/>
      <c r="T30" s="392"/>
      <c r="U30" s="392"/>
      <c r="V30" s="392"/>
      <c r="W30" s="392"/>
      <c r="X30" s="392"/>
      <c r="Y30" s="392"/>
      <c r="Z30" s="392"/>
      <c r="AA30" s="392"/>
      <c r="AB30" s="392"/>
      <c r="AC30" s="392"/>
      <c r="AD30" s="392"/>
      <c r="AE30" s="392"/>
      <c r="AF30" s="392"/>
      <c r="AG30" s="392"/>
      <c r="AH30" s="392"/>
      <c r="AI30" s="392"/>
      <c r="AJ30" s="392"/>
      <c r="AK30" s="392"/>
      <c r="AL30" s="392"/>
      <c r="AM30" s="392"/>
      <c r="AN30" s="392"/>
      <c r="AO30" s="392"/>
      <c r="AP30" s="392"/>
      <c r="AQ30" s="392"/>
      <c r="AR30" s="392"/>
      <c r="AS30" s="373"/>
      <c r="AT30" s="373"/>
      <c r="AU30" s="373"/>
      <c r="AV30" s="373"/>
      <c r="AW30" s="373"/>
      <c r="AX30" s="373"/>
      <c r="AY30" s="373"/>
      <c r="AZ30" s="373"/>
      <c r="BA30" s="373"/>
      <c r="BB30" s="373"/>
      <c r="BC30" s="373"/>
      <c r="BD30" s="373"/>
    </row>
    <row r="31" spans="1:56" s="390" customFormat="1" ht="12" customHeight="1" x14ac:dyDescent="0.15">
      <c r="A31" s="396" t="s">
        <v>3124</v>
      </c>
      <c r="B31" s="396" t="s">
        <v>2598</v>
      </c>
      <c r="C31" s="396" t="s">
        <v>2881</v>
      </c>
      <c r="D31" s="396" t="s">
        <v>2701</v>
      </c>
      <c r="E31" s="396" t="s">
        <v>3048</v>
      </c>
      <c r="F31" s="382">
        <v>41900</v>
      </c>
      <c r="G31" s="424"/>
      <c r="H31" s="423"/>
      <c r="I31" s="423"/>
      <c r="J31" s="423"/>
      <c r="K31" s="423"/>
      <c r="L31" s="422"/>
      <c r="M31" s="397"/>
      <c r="N31" s="422"/>
      <c r="O31" s="422"/>
      <c r="P31" s="393"/>
      <c r="Q31" s="393"/>
      <c r="R31" s="393"/>
      <c r="S31" s="392"/>
      <c r="T31" s="392"/>
      <c r="U31" s="392"/>
      <c r="V31" s="392"/>
      <c r="W31" s="392"/>
      <c r="X31" s="392"/>
      <c r="Y31" s="392"/>
      <c r="Z31" s="392"/>
      <c r="AA31" s="392"/>
      <c r="AB31" s="392"/>
      <c r="AC31" s="392"/>
      <c r="AD31" s="392"/>
      <c r="AE31" s="392"/>
      <c r="AF31" s="392"/>
      <c r="AG31" s="392"/>
      <c r="AH31" s="392"/>
      <c r="AI31" s="392"/>
      <c r="AJ31" s="392"/>
      <c r="AK31" s="392"/>
      <c r="AL31" s="392"/>
      <c r="AM31" s="392"/>
      <c r="AN31" s="392"/>
      <c r="AO31" s="392"/>
      <c r="AP31" s="392"/>
      <c r="AQ31" s="392"/>
      <c r="AR31" s="392"/>
      <c r="AS31" s="373"/>
      <c r="AT31" s="373"/>
      <c r="AU31" s="373"/>
      <c r="AV31" s="373"/>
      <c r="AW31" s="373"/>
      <c r="AX31" s="373"/>
      <c r="AY31" s="373"/>
      <c r="AZ31" s="373"/>
      <c r="BA31" s="373"/>
      <c r="BB31" s="373"/>
      <c r="BC31" s="373"/>
      <c r="BD31" s="373"/>
    </row>
    <row r="32" spans="1:56" s="390" customFormat="1" ht="12" customHeight="1" x14ac:dyDescent="0.15">
      <c r="A32" s="396" t="s">
        <v>3125</v>
      </c>
      <c r="B32" s="396" t="s">
        <v>2589</v>
      </c>
      <c r="C32" s="396" t="s">
        <v>2868</v>
      </c>
      <c r="D32" s="396" t="s">
        <v>2649</v>
      </c>
      <c r="E32" s="396" t="s">
        <v>3048</v>
      </c>
      <c r="F32" s="382">
        <v>41936</v>
      </c>
      <c r="G32" s="424"/>
      <c r="H32" s="423"/>
      <c r="I32" s="423"/>
      <c r="J32" s="423"/>
      <c r="K32" s="423"/>
      <c r="L32" s="422"/>
      <c r="M32" s="397"/>
      <c r="N32" s="422"/>
      <c r="O32" s="422"/>
      <c r="P32" s="393"/>
      <c r="Q32" s="393"/>
      <c r="R32" s="393"/>
      <c r="S32" s="392"/>
      <c r="T32" s="392"/>
      <c r="U32" s="392"/>
      <c r="V32" s="392"/>
      <c r="W32" s="392"/>
      <c r="X32" s="392"/>
      <c r="Y32" s="392"/>
      <c r="Z32" s="392"/>
      <c r="AA32" s="392"/>
      <c r="AB32" s="392"/>
      <c r="AC32" s="392"/>
      <c r="AD32" s="392"/>
      <c r="AE32" s="392"/>
      <c r="AF32" s="392"/>
      <c r="AG32" s="392"/>
      <c r="AH32" s="392"/>
      <c r="AI32" s="392"/>
      <c r="AJ32" s="392"/>
      <c r="AK32" s="392"/>
      <c r="AL32" s="392"/>
      <c r="AM32" s="392"/>
      <c r="AN32" s="392"/>
      <c r="AO32" s="392"/>
      <c r="AP32" s="392"/>
      <c r="AQ32" s="392"/>
      <c r="AR32" s="392"/>
      <c r="AS32" s="373"/>
      <c r="AT32" s="373"/>
      <c r="AU32" s="373"/>
      <c r="AV32" s="373"/>
      <c r="AW32" s="373"/>
      <c r="AX32" s="373"/>
      <c r="AY32" s="373"/>
      <c r="AZ32" s="373"/>
      <c r="BA32" s="373"/>
      <c r="BB32" s="373"/>
      <c r="BC32" s="373"/>
      <c r="BD32" s="373"/>
    </row>
    <row r="33" spans="1:56" s="390" customFormat="1" ht="12" customHeight="1" x14ac:dyDescent="0.15">
      <c r="A33" s="396" t="s">
        <v>3126</v>
      </c>
      <c r="B33" s="396" t="s">
        <v>2589</v>
      </c>
      <c r="C33" s="396" t="s">
        <v>3041</v>
      </c>
      <c r="D33" s="396" t="s">
        <v>2863</v>
      </c>
      <c r="E33" s="396" t="s">
        <v>3048</v>
      </c>
      <c r="F33" s="382">
        <v>41920</v>
      </c>
      <c r="G33" s="424"/>
      <c r="H33" s="423"/>
      <c r="I33" s="423"/>
      <c r="J33" s="423"/>
      <c r="K33" s="423"/>
      <c r="L33" s="422"/>
      <c r="M33" s="397"/>
      <c r="N33" s="422"/>
      <c r="O33" s="422"/>
      <c r="P33" s="393"/>
      <c r="Q33" s="393"/>
      <c r="R33" s="393"/>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2"/>
      <c r="AQ33" s="392"/>
      <c r="AR33" s="392"/>
      <c r="AS33" s="373"/>
      <c r="AT33" s="373"/>
      <c r="AU33" s="373"/>
      <c r="AV33" s="373"/>
      <c r="AW33" s="373"/>
      <c r="AX33" s="373"/>
      <c r="AY33" s="373"/>
      <c r="AZ33" s="373"/>
      <c r="BA33" s="373"/>
      <c r="BB33" s="373"/>
      <c r="BC33" s="373"/>
      <c r="BD33" s="373"/>
    </row>
    <row r="34" spans="1:56" s="390" customFormat="1" ht="12" customHeight="1" x14ac:dyDescent="0.15">
      <c r="A34" s="396" t="s">
        <v>3127</v>
      </c>
      <c r="B34" s="396" t="s">
        <v>2589</v>
      </c>
      <c r="C34" s="396" t="s">
        <v>2889</v>
      </c>
      <c r="D34" s="396" t="s">
        <v>2628</v>
      </c>
      <c r="E34" s="396" t="s">
        <v>3048</v>
      </c>
      <c r="F34" s="382">
        <v>41938</v>
      </c>
      <c r="G34" s="424"/>
      <c r="H34" s="423"/>
      <c r="I34" s="423"/>
      <c r="J34" s="423"/>
      <c r="K34" s="423"/>
      <c r="L34" s="422"/>
      <c r="M34" s="397"/>
      <c r="N34" s="422"/>
      <c r="O34" s="422"/>
      <c r="P34" s="393"/>
      <c r="Q34" s="393"/>
      <c r="R34" s="393"/>
      <c r="S34" s="392"/>
      <c r="T34" s="392"/>
      <c r="U34" s="392"/>
      <c r="V34" s="392"/>
      <c r="W34" s="392"/>
      <c r="X34" s="392"/>
      <c r="Y34" s="392"/>
      <c r="Z34" s="392"/>
      <c r="AA34" s="392"/>
      <c r="AB34" s="392"/>
      <c r="AC34" s="392"/>
      <c r="AD34" s="392"/>
      <c r="AE34" s="392"/>
      <c r="AF34" s="392"/>
      <c r="AG34" s="392"/>
      <c r="AH34" s="392"/>
      <c r="AI34" s="392"/>
      <c r="AJ34" s="392"/>
      <c r="AK34" s="392"/>
      <c r="AL34" s="392"/>
      <c r="AM34" s="392"/>
      <c r="AN34" s="392"/>
      <c r="AO34" s="392"/>
      <c r="AP34" s="392"/>
      <c r="AQ34" s="392"/>
      <c r="AR34" s="392"/>
      <c r="AS34" s="373"/>
      <c r="AT34" s="373"/>
      <c r="AU34" s="373"/>
      <c r="AV34" s="373"/>
      <c r="AW34" s="373"/>
      <c r="AX34" s="373"/>
      <c r="AY34" s="373"/>
      <c r="AZ34" s="373"/>
      <c r="BA34" s="373"/>
      <c r="BB34" s="373"/>
      <c r="BC34" s="373"/>
      <c r="BD34" s="373"/>
    </row>
    <row r="35" spans="1:56" s="390" customFormat="1" ht="12" customHeight="1" x14ac:dyDescent="0.15">
      <c r="A35" s="396" t="s">
        <v>3053</v>
      </c>
      <c r="B35" s="396" t="s">
        <v>2598</v>
      </c>
      <c r="C35" s="396" t="s">
        <v>2822</v>
      </c>
      <c r="D35" s="396" t="s">
        <v>3052</v>
      </c>
      <c r="E35" s="396" t="s">
        <v>3048</v>
      </c>
      <c r="F35" s="382">
        <v>41842</v>
      </c>
      <c r="G35" s="424"/>
      <c r="H35" s="423"/>
      <c r="I35" s="423"/>
      <c r="J35" s="423"/>
      <c r="K35" s="423"/>
      <c r="L35" s="422"/>
      <c r="M35" s="397"/>
      <c r="N35" s="422"/>
      <c r="O35" s="422"/>
      <c r="P35" s="393"/>
      <c r="Q35" s="393"/>
      <c r="R35" s="393"/>
      <c r="S35" s="392"/>
      <c r="T35" s="392"/>
      <c r="U35" s="392"/>
      <c r="V35" s="392"/>
      <c r="W35" s="392"/>
      <c r="X35" s="392"/>
      <c r="Y35" s="392"/>
      <c r="Z35" s="392"/>
      <c r="AA35" s="392"/>
      <c r="AB35" s="392"/>
      <c r="AC35" s="392"/>
      <c r="AD35" s="392"/>
      <c r="AE35" s="392"/>
      <c r="AF35" s="392"/>
      <c r="AG35" s="392"/>
      <c r="AH35" s="392"/>
      <c r="AI35" s="392"/>
      <c r="AJ35" s="392"/>
      <c r="AK35" s="392"/>
      <c r="AL35" s="392"/>
      <c r="AM35" s="392"/>
      <c r="AN35" s="392"/>
      <c r="AO35" s="392"/>
      <c r="AP35" s="392"/>
      <c r="AQ35" s="392"/>
      <c r="AR35" s="392"/>
      <c r="AS35" s="373"/>
      <c r="AT35" s="373"/>
      <c r="AU35" s="373"/>
      <c r="AV35" s="373"/>
      <c r="AW35" s="373"/>
      <c r="AX35" s="373"/>
      <c r="AY35" s="373"/>
      <c r="AZ35" s="373"/>
      <c r="BA35" s="373"/>
      <c r="BB35" s="373"/>
      <c r="BC35" s="373"/>
      <c r="BD35" s="373"/>
    </row>
    <row r="36" spans="1:56" s="390" customFormat="1" ht="12" customHeight="1" x14ac:dyDescent="0.15">
      <c r="A36" s="396" t="s">
        <v>3128</v>
      </c>
      <c r="B36" s="396" t="s">
        <v>2589</v>
      </c>
      <c r="C36" s="396" t="s">
        <v>2742</v>
      </c>
      <c r="D36" s="396" t="s">
        <v>978</v>
      </c>
      <c r="E36" s="396" t="s">
        <v>3048</v>
      </c>
      <c r="F36" s="382">
        <v>41869</v>
      </c>
      <c r="G36" s="424"/>
      <c r="H36" s="423"/>
      <c r="I36" s="423"/>
      <c r="J36" s="423"/>
      <c r="K36" s="423"/>
      <c r="L36" s="422"/>
      <c r="M36" s="397"/>
      <c r="N36" s="422"/>
      <c r="O36" s="422"/>
      <c r="P36" s="393"/>
      <c r="Q36" s="393"/>
      <c r="R36" s="393"/>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2"/>
      <c r="AQ36" s="392"/>
      <c r="AR36" s="392"/>
      <c r="AS36" s="373"/>
      <c r="AT36" s="373"/>
      <c r="AU36" s="373"/>
      <c r="AV36" s="373"/>
      <c r="AW36" s="373"/>
      <c r="AX36" s="373"/>
      <c r="AY36" s="373"/>
      <c r="AZ36" s="373"/>
      <c r="BA36" s="373"/>
      <c r="BB36" s="373"/>
      <c r="BC36" s="373"/>
      <c r="BD36" s="373"/>
    </row>
    <row r="37" spans="1:56" s="390" customFormat="1" ht="12" customHeight="1" x14ac:dyDescent="0.15">
      <c r="A37" s="396" t="s">
        <v>3129</v>
      </c>
      <c r="B37" s="396" t="s">
        <v>2589</v>
      </c>
      <c r="C37" s="396" t="s">
        <v>2689</v>
      </c>
      <c r="D37" s="396" t="s">
        <v>2688</v>
      </c>
      <c r="E37" s="396" t="s">
        <v>3048</v>
      </c>
      <c r="F37" s="382">
        <v>41941</v>
      </c>
      <c r="G37" s="424"/>
      <c r="H37" s="423"/>
      <c r="I37" s="423"/>
      <c r="J37" s="423"/>
      <c r="K37" s="423"/>
      <c r="L37" s="422"/>
      <c r="M37" s="397"/>
      <c r="N37" s="422"/>
      <c r="O37" s="422"/>
      <c r="P37" s="393"/>
      <c r="Q37" s="393"/>
      <c r="R37" s="393"/>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73"/>
      <c r="AT37" s="373"/>
      <c r="AU37" s="373"/>
      <c r="AV37" s="373"/>
      <c r="AW37" s="373"/>
      <c r="AX37" s="373"/>
      <c r="AY37" s="373"/>
      <c r="AZ37" s="373"/>
      <c r="BA37" s="373"/>
      <c r="BB37" s="373"/>
      <c r="BC37" s="373"/>
      <c r="BD37" s="373"/>
    </row>
    <row r="38" spans="1:56" s="390" customFormat="1" ht="12" customHeight="1" x14ac:dyDescent="0.15">
      <c r="A38" s="396" t="s">
        <v>3051</v>
      </c>
      <c r="B38" s="396" t="s">
        <v>2598</v>
      </c>
      <c r="C38" s="396" t="s">
        <v>2835</v>
      </c>
      <c r="D38" s="396" t="s">
        <v>2733</v>
      </c>
      <c r="E38" s="396" t="s">
        <v>3248</v>
      </c>
      <c r="F38" s="382">
        <v>41847</v>
      </c>
      <c r="G38" s="424"/>
      <c r="H38" s="423"/>
      <c r="I38" s="423"/>
      <c r="J38" s="423"/>
      <c r="K38" s="423"/>
      <c r="L38" s="422"/>
      <c r="M38" s="397"/>
      <c r="N38" s="422"/>
      <c r="O38" s="422"/>
      <c r="P38" s="393"/>
      <c r="Q38" s="393"/>
      <c r="R38" s="393"/>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c r="AS38" s="373"/>
      <c r="AT38" s="373"/>
      <c r="AU38" s="373"/>
      <c r="AV38" s="373"/>
      <c r="AW38" s="373"/>
      <c r="AX38" s="373"/>
      <c r="AY38" s="373"/>
      <c r="AZ38" s="373"/>
      <c r="BA38" s="373"/>
      <c r="BB38" s="373"/>
      <c r="BC38" s="373"/>
      <c r="BD38" s="373"/>
    </row>
    <row r="39" spans="1:56" s="390" customFormat="1" ht="12" customHeight="1" x14ac:dyDescent="0.15">
      <c r="A39" s="396" t="s">
        <v>3050</v>
      </c>
      <c r="B39" s="396" t="s">
        <v>2589</v>
      </c>
      <c r="C39" s="396" t="s">
        <v>2611</v>
      </c>
      <c r="D39" s="396" t="s">
        <v>2610</v>
      </c>
      <c r="E39" s="396" t="s">
        <v>3048</v>
      </c>
      <c r="F39" s="382">
        <v>41848</v>
      </c>
      <c r="G39" s="424"/>
      <c r="H39" s="423"/>
      <c r="I39" s="423"/>
      <c r="J39" s="423"/>
      <c r="K39" s="423"/>
      <c r="L39" s="422"/>
      <c r="M39" s="397"/>
      <c r="N39" s="422"/>
      <c r="O39" s="422"/>
      <c r="P39" s="393"/>
      <c r="Q39" s="393"/>
      <c r="R39" s="393"/>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73"/>
      <c r="AT39" s="373"/>
      <c r="AU39" s="373"/>
      <c r="AV39" s="373"/>
      <c r="AW39" s="373"/>
      <c r="AX39" s="373"/>
      <c r="AY39" s="373"/>
      <c r="AZ39" s="373"/>
      <c r="BA39" s="373"/>
      <c r="BB39" s="373"/>
      <c r="BC39" s="373"/>
      <c r="BD39" s="373"/>
    </row>
    <row r="40" spans="1:56" s="390" customFormat="1" ht="12" customHeight="1" x14ac:dyDescent="0.15">
      <c r="A40" s="396" t="s">
        <v>3049</v>
      </c>
      <c r="B40" s="396" t="s">
        <v>2589</v>
      </c>
      <c r="C40" s="396" t="s">
        <v>2696</v>
      </c>
      <c r="D40" s="396" t="s">
        <v>2695</v>
      </c>
      <c r="E40" s="396" t="s">
        <v>3048</v>
      </c>
      <c r="F40" s="382">
        <v>41853</v>
      </c>
      <c r="G40" s="398"/>
      <c r="H40" s="423"/>
      <c r="I40" s="423"/>
      <c r="J40" s="423"/>
      <c r="K40" s="423"/>
      <c r="L40" s="398"/>
      <c r="M40" s="398"/>
      <c r="N40" s="395"/>
      <c r="O40" s="394"/>
      <c r="P40" s="394"/>
      <c r="Q40" s="393"/>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2"/>
      <c r="AR40" s="392"/>
      <c r="AS40" s="373"/>
    </row>
    <row r="41" spans="1:56" s="390" customFormat="1" ht="12" customHeight="1" x14ac:dyDescent="0.15">
      <c r="A41" s="396" t="s">
        <v>3131</v>
      </c>
      <c r="B41" s="396" t="s">
        <v>2598</v>
      </c>
      <c r="C41" s="396" t="s">
        <v>2675</v>
      </c>
      <c r="D41" s="396" t="s">
        <v>2990</v>
      </c>
      <c r="E41" s="396" t="s">
        <v>3048</v>
      </c>
      <c r="F41" s="382">
        <v>41886</v>
      </c>
      <c r="G41" s="424"/>
      <c r="H41" s="423"/>
      <c r="I41" s="423"/>
      <c r="J41" s="423"/>
      <c r="K41" s="423"/>
      <c r="L41" s="422"/>
      <c r="M41" s="397"/>
      <c r="N41" s="422"/>
      <c r="O41" s="422"/>
      <c r="P41" s="393"/>
      <c r="Q41" s="393"/>
      <c r="R41" s="393"/>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73"/>
      <c r="AT41" s="373"/>
      <c r="AU41" s="373"/>
      <c r="AV41" s="373"/>
      <c r="AW41" s="373"/>
      <c r="AX41" s="373"/>
      <c r="AY41" s="373"/>
      <c r="AZ41" s="373"/>
      <c r="BA41" s="373"/>
      <c r="BB41" s="373"/>
      <c r="BC41" s="373"/>
      <c r="BD41" s="373"/>
    </row>
    <row r="42" spans="1:56" s="390" customFormat="1" ht="12" customHeight="1" x14ac:dyDescent="0.15">
      <c r="A42" s="396" t="s">
        <v>3132</v>
      </c>
      <c r="B42" s="396" t="s">
        <v>2589</v>
      </c>
      <c r="C42" s="396" t="s">
        <v>2963</v>
      </c>
      <c r="D42" s="396" t="s">
        <v>2962</v>
      </c>
      <c r="E42" s="396" t="s">
        <v>3048</v>
      </c>
      <c r="F42" s="382">
        <v>41922</v>
      </c>
      <c r="G42" s="424"/>
      <c r="H42" s="423"/>
      <c r="I42" s="423"/>
      <c r="J42" s="423"/>
      <c r="K42" s="423"/>
      <c r="L42" s="422"/>
      <c r="M42" s="397"/>
      <c r="N42" s="422"/>
      <c r="O42" s="422"/>
      <c r="P42" s="393"/>
      <c r="Q42" s="393"/>
      <c r="R42" s="393"/>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2"/>
      <c r="AQ42" s="392"/>
      <c r="AR42" s="392"/>
      <c r="AS42" s="373"/>
      <c r="AT42" s="373"/>
      <c r="AU42" s="373"/>
      <c r="AV42" s="373"/>
      <c r="AW42" s="373"/>
      <c r="AX42" s="373"/>
      <c r="AY42" s="373"/>
      <c r="AZ42" s="373"/>
      <c r="BA42" s="373"/>
      <c r="BB42" s="373"/>
      <c r="BC42" s="373"/>
      <c r="BD42" s="373"/>
    </row>
    <row r="43" spans="1:56" s="390" customFormat="1" ht="12" customHeight="1" x14ac:dyDescent="0.15">
      <c r="A43" s="396" t="s">
        <v>3133</v>
      </c>
      <c r="B43" s="396" t="s">
        <v>2598</v>
      </c>
      <c r="C43" s="396" t="s">
        <v>2878</v>
      </c>
      <c r="D43" s="396" t="s">
        <v>2668</v>
      </c>
      <c r="E43" s="396" t="s">
        <v>3247</v>
      </c>
      <c r="F43" s="382">
        <v>41940</v>
      </c>
      <c r="G43" s="424"/>
      <c r="H43" s="423"/>
      <c r="I43" s="423"/>
      <c r="J43" s="423"/>
      <c r="K43" s="423"/>
      <c r="L43" s="422"/>
      <c r="M43" s="397"/>
      <c r="N43" s="422"/>
      <c r="O43" s="422"/>
      <c r="P43" s="393"/>
      <c r="Q43" s="393"/>
      <c r="R43" s="393"/>
      <c r="S43" s="392"/>
      <c r="T43" s="392"/>
      <c r="U43" s="392"/>
      <c r="V43" s="392"/>
      <c r="W43" s="392"/>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73"/>
      <c r="AT43" s="373"/>
      <c r="AU43" s="373"/>
      <c r="AV43" s="373"/>
      <c r="AW43" s="373"/>
      <c r="AX43" s="373"/>
      <c r="AY43" s="373"/>
      <c r="AZ43" s="373"/>
      <c r="BA43" s="373"/>
      <c r="BB43" s="373"/>
      <c r="BC43" s="373"/>
      <c r="BD43" s="373"/>
    </row>
    <row r="44" spans="1:56" s="390" customFormat="1" ht="12" customHeight="1" x14ac:dyDescent="0.15">
      <c r="A44" s="396" t="s">
        <v>3134</v>
      </c>
      <c r="B44" s="435" t="s">
        <v>2589</v>
      </c>
      <c r="C44" s="396" t="s">
        <v>2647</v>
      </c>
      <c r="D44" s="396" t="s">
        <v>2873</v>
      </c>
      <c r="E44" s="396" t="s">
        <v>3048</v>
      </c>
      <c r="F44" s="382">
        <v>41928</v>
      </c>
      <c r="G44" s="424"/>
      <c r="H44" s="423"/>
      <c r="I44" s="423"/>
      <c r="J44" s="423"/>
      <c r="K44" s="423"/>
      <c r="L44" s="422"/>
      <c r="M44" s="397"/>
      <c r="N44" s="422"/>
      <c r="O44" s="422"/>
      <c r="P44" s="393"/>
      <c r="Q44" s="393"/>
      <c r="R44" s="393"/>
      <c r="S44" s="392"/>
      <c r="T44" s="392"/>
      <c r="U44" s="392"/>
      <c r="V44" s="392"/>
      <c r="W44" s="392"/>
      <c r="X44" s="392"/>
      <c r="Y44" s="392"/>
      <c r="Z44" s="392"/>
      <c r="AA44" s="392"/>
      <c r="AB44" s="392"/>
      <c r="AC44" s="392"/>
      <c r="AD44" s="392"/>
      <c r="AE44" s="392"/>
      <c r="AF44" s="392"/>
      <c r="AG44" s="392"/>
      <c r="AH44" s="392"/>
      <c r="AI44" s="392"/>
      <c r="AJ44" s="392"/>
      <c r="AK44" s="392"/>
      <c r="AL44" s="392"/>
      <c r="AM44" s="392"/>
      <c r="AN44" s="392"/>
      <c r="AO44" s="392"/>
      <c r="AP44" s="392"/>
      <c r="AQ44" s="392"/>
      <c r="AR44" s="392"/>
      <c r="AS44" s="373"/>
      <c r="AT44" s="373"/>
      <c r="AU44" s="373"/>
      <c r="AV44" s="373"/>
      <c r="AW44" s="373"/>
      <c r="AX44" s="373"/>
      <c r="AY44" s="373"/>
      <c r="AZ44" s="373"/>
      <c r="BA44" s="373"/>
      <c r="BB44" s="373"/>
      <c r="BC44" s="373"/>
      <c r="BD44" s="373"/>
    </row>
    <row r="45" spans="1:56" s="390" customFormat="1" ht="12" customHeight="1" x14ac:dyDescent="0.15">
      <c r="A45" s="396" t="s">
        <v>4135</v>
      </c>
      <c r="B45" s="435" t="s">
        <v>2589</v>
      </c>
      <c r="C45" s="396" t="s">
        <v>4136</v>
      </c>
      <c r="D45" s="396" t="s">
        <v>4137</v>
      </c>
      <c r="E45" s="396" t="s">
        <v>2910</v>
      </c>
      <c r="F45" s="382">
        <v>41928</v>
      </c>
      <c r="G45" s="424"/>
      <c r="H45" s="423"/>
      <c r="I45" s="423"/>
      <c r="J45" s="423"/>
      <c r="K45" s="423"/>
      <c r="L45" s="422"/>
      <c r="M45" s="397"/>
      <c r="N45" s="422"/>
      <c r="O45" s="422"/>
      <c r="P45" s="393"/>
      <c r="Q45" s="393"/>
      <c r="R45" s="393"/>
      <c r="S45" s="392"/>
      <c r="T45" s="392"/>
      <c r="U45" s="392"/>
      <c r="V45" s="392"/>
      <c r="W45" s="392"/>
      <c r="X45" s="392"/>
      <c r="Y45" s="392"/>
      <c r="Z45" s="392"/>
      <c r="AA45" s="392"/>
      <c r="AB45" s="392"/>
      <c r="AC45" s="392"/>
      <c r="AD45" s="392"/>
      <c r="AE45" s="392"/>
      <c r="AF45" s="392"/>
      <c r="AG45" s="392"/>
      <c r="AH45" s="392"/>
      <c r="AI45" s="392"/>
      <c r="AJ45" s="392"/>
      <c r="AK45" s="392"/>
      <c r="AL45" s="392"/>
      <c r="AM45" s="392"/>
      <c r="AN45" s="392"/>
      <c r="AO45" s="392"/>
      <c r="AP45" s="392"/>
      <c r="AQ45" s="392"/>
      <c r="AR45" s="392"/>
      <c r="AS45" s="373"/>
      <c r="AT45" s="373"/>
      <c r="AU45" s="373"/>
      <c r="AV45" s="373"/>
      <c r="AW45" s="373"/>
      <c r="AX45" s="373"/>
      <c r="AY45" s="373"/>
      <c r="AZ45" s="373"/>
      <c r="BA45" s="373"/>
      <c r="BB45" s="373"/>
      <c r="BC45" s="373"/>
      <c r="BD45" s="373"/>
    </row>
    <row r="46" spans="1:56" s="390" customFormat="1" ht="12" customHeight="1" x14ac:dyDescent="0.15">
      <c r="A46" s="396" t="s">
        <v>3136</v>
      </c>
      <c r="B46" s="396" t="s">
        <v>2589</v>
      </c>
      <c r="C46" s="396" t="s">
        <v>2949</v>
      </c>
      <c r="D46" s="396" t="s">
        <v>1225</v>
      </c>
      <c r="E46" s="396" t="s">
        <v>2925</v>
      </c>
      <c r="F46" s="382">
        <v>41917</v>
      </c>
      <c r="G46" s="424"/>
      <c r="H46" s="423"/>
      <c r="I46" s="423"/>
      <c r="J46" s="423"/>
      <c r="K46" s="423"/>
      <c r="L46" s="422"/>
      <c r="M46" s="397"/>
      <c r="N46" s="422"/>
      <c r="O46" s="422"/>
      <c r="P46" s="393"/>
      <c r="Q46" s="393"/>
      <c r="R46" s="393"/>
      <c r="S46" s="392"/>
      <c r="T46" s="392"/>
      <c r="U46" s="392"/>
      <c r="V46" s="392"/>
      <c r="W46" s="392"/>
      <c r="X46" s="392"/>
      <c r="Y46" s="392"/>
      <c r="Z46" s="392"/>
      <c r="AA46" s="392"/>
      <c r="AB46" s="392"/>
      <c r="AC46" s="392"/>
      <c r="AD46" s="392"/>
      <c r="AE46" s="392"/>
      <c r="AF46" s="392"/>
      <c r="AG46" s="392"/>
      <c r="AH46" s="392"/>
      <c r="AI46" s="392"/>
      <c r="AJ46" s="392"/>
      <c r="AK46" s="392"/>
      <c r="AL46" s="392"/>
      <c r="AM46" s="392"/>
      <c r="AN46" s="392"/>
      <c r="AO46" s="392"/>
      <c r="AP46" s="392"/>
      <c r="AQ46" s="392"/>
      <c r="AR46" s="392"/>
      <c r="AS46" s="373"/>
      <c r="AT46" s="373"/>
      <c r="AU46" s="373"/>
      <c r="AV46" s="373"/>
      <c r="AW46" s="373"/>
      <c r="AX46" s="373"/>
      <c r="AY46" s="373"/>
      <c r="AZ46" s="373"/>
      <c r="BA46" s="373"/>
      <c r="BB46" s="373"/>
      <c r="BC46" s="373"/>
      <c r="BD46" s="373"/>
    </row>
    <row r="47" spans="1:56" s="390" customFormat="1" ht="12" customHeight="1" x14ac:dyDescent="0.15">
      <c r="A47" s="396" t="s">
        <v>3137</v>
      </c>
      <c r="B47" s="396" t="s">
        <v>2589</v>
      </c>
      <c r="C47" s="396" t="s">
        <v>3039</v>
      </c>
      <c r="D47" s="396" t="s">
        <v>2926</v>
      </c>
      <c r="E47" s="396" t="s">
        <v>2936</v>
      </c>
      <c r="F47" s="382">
        <v>41860</v>
      </c>
      <c r="G47" s="424"/>
      <c r="H47" s="423"/>
      <c r="I47" s="423"/>
      <c r="J47" s="423"/>
      <c r="K47" s="423"/>
      <c r="L47" s="422"/>
      <c r="M47" s="397"/>
      <c r="N47" s="422"/>
      <c r="O47" s="422"/>
      <c r="P47" s="393"/>
      <c r="Q47" s="393"/>
      <c r="R47" s="393"/>
      <c r="S47" s="392"/>
      <c r="T47" s="392"/>
      <c r="U47" s="392"/>
      <c r="V47" s="392"/>
      <c r="W47" s="392"/>
      <c r="X47" s="392"/>
      <c r="Y47" s="392"/>
      <c r="Z47" s="392"/>
      <c r="AA47" s="392"/>
      <c r="AB47" s="392"/>
      <c r="AC47" s="392"/>
      <c r="AD47" s="392"/>
      <c r="AE47" s="392"/>
      <c r="AF47" s="392"/>
      <c r="AG47" s="392"/>
      <c r="AH47" s="392"/>
      <c r="AI47" s="392"/>
      <c r="AJ47" s="392"/>
      <c r="AK47" s="392"/>
      <c r="AL47" s="392"/>
      <c r="AM47" s="392"/>
      <c r="AN47" s="392"/>
      <c r="AO47" s="392"/>
      <c r="AP47" s="392"/>
      <c r="AQ47" s="392"/>
      <c r="AR47" s="392"/>
      <c r="AS47" s="373"/>
      <c r="AT47" s="373"/>
      <c r="AU47" s="373"/>
      <c r="AV47" s="373"/>
      <c r="AW47" s="373"/>
      <c r="AX47" s="373"/>
      <c r="AY47" s="373"/>
      <c r="AZ47" s="373"/>
      <c r="BA47" s="373"/>
      <c r="BB47" s="373"/>
      <c r="BC47" s="373"/>
      <c r="BD47" s="373"/>
    </row>
    <row r="48" spans="1:56" s="390" customFormat="1" ht="12" customHeight="1" x14ac:dyDescent="0.15">
      <c r="A48" s="396" t="s">
        <v>3139</v>
      </c>
      <c r="B48" s="396" t="s">
        <v>2589</v>
      </c>
      <c r="C48" s="396" t="s">
        <v>3018</v>
      </c>
      <c r="D48" s="396" t="s">
        <v>2972</v>
      </c>
      <c r="E48" s="396" t="s">
        <v>2920</v>
      </c>
      <c r="F48" s="382">
        <v>41912</v>
      </c>
      <c r="G48" s="424"/>
      <c r="H48" s="423"/>
      <c r="I48" s="423"/>
      <c r="J48" s="423"/>
      <c r="K48" s="423"/>
      <c r="L48" s="422"/>
      <c r="M48" s="397"/>
      <c r="N48" s="422"/>
      <c r="O48" s="422"/>
      <c r="P48" s="393"/>
      <c r="Q48" s="393"/>
      <c r="R48" s="393"/>
      <c r="S48" s="392"/>
      <c r="T48" s="392"/>
      <c r="U48" s="392"/>
      <c r="V48" s="392"/>
      <c r="W48" s="392"/>
      <c r="X48" s="392"/>
      <c r="Y48" s="392"/>
      <c r="Z48" s="392"/>
      <c r="AA48" s="392"/>
      <c r="AB48" s="392"/>
      <c r="AC48" s="392"/>
      <c r="AD48" s="392"/>
      <c r="AE48" s="392"/>
      <c r="AF48" s="392"/>
      <c r="AG48" s="392"/>
      <c r="AH48" s="392"/>
      <c r="AI48" s="392"/>
      <c r="AJ48" s="392"/>
      <c r="AK48" s="392"/>
      <c r="AL48" s="392"/>
      <c r="AM48" s="392"/>
      <c r="AN48" s="392"/>
      <c r="AO48" s="392"/>
      <c r="AP48" s="392"/>
      <c r="AQ48" s="392"/>
      <c r="AR48" s="392"/>
      <c r="AS48" s="373"/>
      <c r="AT48" s="373"/>
      <c r="AU48" s="373"/>
      <c r="AV48" s="373"/>
      <c r="AW48" s="373"/>
      <c r="AX48" s="373"/>
      <c r="AY48" s="373"/>
      <c r="AZ48" s="373"/>
      <c r="BA48" s="373"/>
      <c r="BB48" s="373"/>
      <c r="BC48" s="373"/>
      <c r="BD48" s="373"/>
    </row>
    <row r="49" spans="1:56" s="390" customFormat="1" ht="12" customHeight="1" x14ac:dyDescent="0.15">
      <c r="A49" s="396" t="s">
        <v>3047</v>
      </c>
      <c r="B49" s="396" t="s">
        <v>2598</v>
      </c>
      <c r="C49" s="396" t="s">
        <v>3046</v>
      </c>
      <c r="D49" s="396" t="s">
        <v>3045</v>
      </c>
      <c r="E49" s="396" t="s">
        <v>2920</v>
      </c>
      <c r="F49" s="382">
        <v>41840</v>
      </c>
      <c r="G49" s="424"/>
      <c r="H49" s="423"/>
      <c r="I49" s="423"/>
      <c r="J49" s="423"/>
      <c r="K49" s="423"/>
      <c r="L49" s="422"/>
      <c r="M49" s="397"/>
      <c r="N49" s="422"/>
      <c r="O49" s="422"/>
      <c r="P49" s="393"/>
      <c r="Q49" s="393"/>
      <c r="R49" s="393"/>
      <c r="S49" s="392"/>
      <c r="T49" s="392"/>
      <c r="U49" s="392"/>
      <c r="V49" s="392"/>
      <c r="W49" s="392"/>
      <c r="X49" s="392"/>
      <c r="Y49" s="392"/>
      <c r="Z49" s="392"/>
      <c r="AA49" s="392"/>
      <c r="AB49" s="392"/>
      <c r="AC49" s="392"/>
      <c r="AD49" s="392"/>
      <c r="AE49" s="392"/>
      <c r="AF49" s="392"/>
      <c r="AG49" s="392"/>
      <c r="AH49" s="392"/>
      <c r="AI49" s="392"/>
      <c r="AJ49" s="392"/>
      <c r="AK49" s="392"/>
      <c r="AL49" s="392"/>
      <c r="AM49" s="392"/>
      <c r="AN49" s="392"/>
      <c r="AO49" s="392"/>
      <c r="AP49" s="392"/>
      <c r="AQ49" s="392"/>
      <c r="AR49" s="392"/>
      <c r="AS49" s="373"/>
      <c r="AT49" s="373"/>
      <c r="AU49" s="373"/>
      <c r="AV49" s="373"/>
      <c r="AW49" s="373"/>
      <c r="AX49" s="373"/>
      <c r="AY49" s="373"/>
      <c r="AZ49" s="373"/>
      <c r="BA49" s="373"/>
      <c r="BB49" s="373"/>
      <c r="BC49" s="373"/>
      <c r="BD49" s="373"/>
    </row>
    <row r="50" spans="1:56" s="390" customFormat="1" ht="12" customHeight="1" x14ac:dyDescent="0.15">
      <c r="A50" s="396" t="s">
        <v>3217</v>
      </c>
      <c r="B50" s="396" t="s">
        <v>2589</v>
      </c>
      <c r="C50" s="396" t="s">
        <v>2998</v>
      </c>
      <c r="D50" s="396" t="s">
        <v>2570</v>
      </c>
      <c r="E50" s="391" t="s">
        <v>2925</v>
      </c>
      <c r="F50" s="382">
        <v>41892</v>
      </c>
      <c r="G50" s="424"/>
      <c r="H50" s="423"/>
      <c r="I50" s="423"/>
      <c r="J50" s="423"/>
      <c r="K50" s="423"/>
      <c r="L50" s="422"/>
      <c r="M50" s="397"/>
      <c r="N50" s="422"/>
      <c r="O50" s="422"/>
      <c r="P50" s="393"/>
      <c r="Q50" s="393"/>
      <c r="R50" s="393"/>
      <c r="S50" s="392"/>
      <c r="T50" s="392"/>
      <c r="U50" s="392"/>
      <c r="V50" s="392"/>
      <c r="W50" s="392"/>
      <c r="X50" s="392"/>
      <c r="Y50" s="392"/>
      <c r="Z50" s="392"/>
      <c r="AA50" s="392"/>
      <c r="AB50" s="392"/>
      <c r="AC50" s="392"/>
      <c r="AD50" s="392"/>
      <c r="AE50" s="392"/>
      <c r="AF50" s="392"/>
      <c r="AG50" s="392"/>
      <c r="AH50" s="392"/>
      <c r="AI50" s="392"/>
      <c r="AJ50" s="392"/>
      <c r="AK50" s="392"/>
      <c r="AL50" s="392"/>
      <c r="AM50" s="392"/>
      <c r="AN50" s="392"/>
      <c r="AO50" s="392"/>
      <c r="AP50" s="392"/>
      <c r="AQ50" s="392"/>
      <c r="AR50" s="392"/>
      <c r="AS50" s="373"/>
      <c r="AT50" s="373"/>
      <c r="AU50" s="373"/>
      <c r="AV50" s="373"/>
      <c r="AW50" s="373"/>
      <c r="AX50" s="373"/>
      <c r="AY50" s="373"/>
      <c r="AZ50" s="373"/>
      <c r="BA50" s="373"/>
      <c r="BB50" s="373"/>
      <c r="BC50" s="373"/>
      <c r="BD50" s="373"/>
    </row>
    <row r="51" spans="1:56" s="390" customFormat="1" ht="12" customHeight="1" x14ac:dyDescent="0.15">
      <c r="A51" s="396" t="s">
        <v>3140</v>
      </c>
      <c r="B51" s="396" t="s">
        <v>2598</v>
      </c>
      <c r="C51" s="396" t="s">
        <v>2978</v>
      </c>
      <c r="D51" s="396" t="s">
        <v>2917</v>
      </c>
      <c r="E51" s="396" t="s">
        <v>2920</v>
      </c>
      <c r="F51" s="382">
        <v>41935</v>
      </c>
      <c r="G51" s="424"/>
      <c r="H51" s="423"/>
      <c r="I51" s="423"/>
      <c r="J51" s="423"/>
      <c r="K51" s="423"/>
      <c r="L51" s="422"/>
      <c r="M51" s="397"/>
      <c r="N51" s="422"/>
      <c r="O51" s="422"/>
      <c r="P51" s="393"/>
      <c r="Q51" s="393"/>
      <c r="R51" s="393"/>
      <c r="S51" s="392"/>
      <c r="T51" s="392"/>
      <c r="U51" s="392"/>
      <c r="V51" s="392"/>
      <c r="W51" s="392"/>
      <c r="X51" s="392"/>
      <c r="Y51" s="392"/>
      <c r="Z51" s="392"/>
      <c r="AA51" s="392"/>
      <c r="AB51" s="392"/>
      <c r="AC51" s="392"/>
      <c r="AD51" s="392"/>
      <c r="AE51" s="392"/>
      <c r="AF51" s="392"/>
      <c r="AG51" s="392"/>
      <c r="AH51" s="392"/>
      <c r="AI51" s="392"/>
      <c r="AJ51" s="392"/>
      <c r="AK51" s="392"/>
      <c r="AL51" s="392"/>
      <c r="AM51" s="392"/>
      <c r="AN51" s="392"/>
      <c r="AO51" s="392"/>
      <c r="AP51" s="392"/>
      <c r="AQ51" s="392"/>
      <c r="AR51" s="392"/>
      <c r="AS51" s="373"/>
      <c r="AT51" s="373"/>
      <c r="AU51" s="373"/>
      <c r="AV51" s="373"/>
      <c r="AW51" s="373"/>
      <c r="AX51" s="373"/>
      <c r="AY51" s="373"/>
      <c r="AZ51" s="373"/>
      <c r="BA51" s="373"/>
      <c r="BB51" s="373"/>
      <c r="BC51" s="373"/>
      <c r="BD51" s="373"/>
    </row>
    <row r="52" spans="1:56" s="390" customFormat="1" ht="12" customHeight="1" x14ac:dyDescent="0.15">
      <c r="A52" s="396" t="s">
        <v>3141</v>
      </c>
      <c r="B52" s="396" t="s">
        <v>2589</v>
      </c>
      <c r="C52" s="396" t="s">
        <v>2993</v>
      </c>
      <c r="D52" s="396" t="s">
        <v>2992</v>
      </c>
      <c r="E52" s="396" t="s">
        <v>3242</v>
      </c>
      <c r="F52" s="382">
        <v>41940</v>
      </c>
      <c r="G52" s="424"/>
      <c r="H52" s="423"/>
      <c r="I52" s="423"/>
      <c r="J52" s="423"/>
      <c r="K52" s="423"/>
      <c r="L52" s="422"/>
      <c r="M52" s="397"/>
      <c r="N52" s="422"/>
      <c r="O52" s="422"/>
      <c r="P52" s="393"/>
      <c r="Q52" s="393"/>
      <c r="R52" s="393"/>
      <c r="S52" s="392"/>
      <c r="T52" s="392"/>
      <c r="U52" s="392"/>
      <c r="V52" s="392"/>
      <c r="W52" s="392"/>
      <c r="X52" s="392"/>
      <c r="Y52" s="392"/>
      <c r="Z52" s="392"/>
      <c r="AA52" s="392"/>
      <c r="AB52" s="392"/>
      <c r="AC52" s="392"/>
      <c r="AD52" s="392"/>
      <c r="AE52" s="392"/>
      <c r="AF52" s="392"/>
      <c r="AG52" s="392"/>
      <c r="AH52" s="392"/>
      <c r="AI52" s="392"/>
      <c r="AJ52" s="392"/>
      <c r="AK52" s="392"/>
      <c r="AL52" s="392"/>
      <c r="AM52" s="392"/>
      <c r="AN52" s="392"/>
      <c r="AO52" s="392"/>
      <c r="AP52" s="392"/>
      <c r="AQ52" s="392"/>
      <c r="AR52" s="392"/>
      <c r="AS52" s="373"/>
      <c r="AT52" s="373"/>
      <c r="AU52" s="373"/>
      <c r="AV52" s="373"/>
      <c r="AW52" s="373"/>
      <c r="AX52" s="373"/>
      <c r="AY52" s="373"/>
      <c r="AZ52" s="373"/>
      <c r="BA52" s="373"/>
      <c r="BB52" s="373"/>
      <c r="BC52" s="373"/>
      <c r="BD52" s="373"/>
    </row>
    <row r="53" spans="1:56" s="390" customFormat="1" ht="12" customHeight="1" x14ac:dyDescent="0.15">
      <c r="A53" s="396" t="s">
        <v>3142</v>
      </c>
      <c r="B53" s="396" t="s">
        <v>2589</v>
      </c>
      <c r="C53" s="396" t="s">
        <v>2941</v>
      </c>
      <c r="D53" s="396" t="s">
        <v>2940</v>
      </c>
      <c r="E53" s="396" t="s">
        <v>2936</v>
      </c>
      <c r="F53" s="382">
        <v>41924</v>
      </c>
      <c r="G53" s="424"/>
      <c r="H53" s="423"/>
      <c r="I53" s="423"/>
      <c r="J53" s="423"/>
      <c r="K53" s="423"/>
      <c r="L53" s="422"/>
      <c r="M53" s="397"/>
      <c r="N53" s="422"/>
      <c r="O53" s="422"/>
      <c r="P53" s="393"/>
      <c r="Q53" s="393"/>
      <c r="R53" s="393"/>
      <c r="S53" s="392"/>
      <c r="T53" s="392"/>
      <c r="U53" s="392"/>
      <c r="V53" s="392"/>
      <c r="W53" s="392"/>
      <c r="X53" s="392"/>
      <c r="Y53" s="392"/>
      <c r="Z53" s="392"/>
      <c r="AA53" s="392"/>
      <c r="AB53" s="392"/>
      <c r="AC53" s="392"/>
      <c r="AD53" s="392"/>
      <c r="AE53" s="392"/>
      <c r="AF53" s="392"/>
      <c r="AG53" s="392"/>
      <c r="AH53" s="392"/>
      <c r="AI53" s="392"/>
      <c r="AJ53" s="392"/>
      <c r="AK53" s="392"/>
      <c r="AL53" s="392"/>
      <c r="AM53" s="392"/>
      <c r="AN53" s="392"/>
      <c r="AO53" s="392"/>
      <c r="AP53" s="392"/>
      <c r="AQ53" s="392"/>
      <c r="AR53" s="392"/>
      <c r="AS53" s="373"/>
      <c r="AT53" s="373"/>
      <c r="AU53" s="373"/>
      <c r="AV53" s="373"/>
      <c r="AW53" s="373"/>
      <c r="AX53" s="373"/>
      <c r="AY53" s="373"/>
      <c r="AZ53" s="373"/>
      <c r="BA53" s="373"/>
      <c r="BB53" s="373"/>
      <c r="BC53" s="373"/>
      <c r="BD53" s="373"/>
    </row>
    <row r="54" spans="1:56" s="390" customFormat="1" ht="12" customHeight="1" x14ac:dyDescent="0.15">
      <c r="A54" s="396" t="s">
        <v>3143</v>
      </c>
      <c r="B54" s="396" t="s">
        <v>2589</v>
      </c>
      <c r="C54" s="396" t="s">
        <v>2964</v>
      </c>
      <c r="D54" s="396" t="s">
        <v>2738</v>
      </c>
      <c r="E54" s="396" t="s">
        <v>2920</v>
      </c>
      <c r="F54" s="382">
        <v>41912</v>
      </c>
      <c r="G54" s="424"/>
      <c r="H54" s="423"/>
      <c r="I54" s="423"/>
      <c r="J54" s="423"/>
      <c r="K54" s="423"/>
      <c r="L54" s="422"/>
      <c r="M54" s="397"/>
      <c r="N54" s="422"/>
      <c r="O54" s="422"/>
      <c r="P54" s="393"/>
      <c r="Q54" s="393"/>
      <c r="R54" s="393"/>
      <c r="S54" s="392"/>
      <c r="T54" s="392"/>
      <c r="U54" s="392"/>
      <c r="V54" s="392"/>
      <c r="W54" s="392"/>
      <c r="X54" s="392"/>
      <c r="Y54" s="392"/>
      <c r="Z54" s="392"/>
      <c r="AA54" s="392"/>
      <c r="AB54" s="392"/>
      <c r="AC54" s="392"/>
      <c r="AD54" s="392"/>
      <c r="AE54" s="392"/>
      <c r="AF54" s="392"/>
      <c r="AG54" s="392"/>
      <c r="AH54" s="392"/>
      <c r="AI54" s="392"/>
      <c r="AJ54" s="392"/>
      <c r="AK54" s="392"/>
      <c r="AL54" s="392"/>
      <c r="AM54" s="392"/>
      <c r="AN54" s="392"/>
      <c r="AO54" s="392"/>
      <c r="AP54" s="392"/>
      <c r="AQ54" s="392"/>
      <c r="AR54" s="392"/>
      <c r="AS54" s="373"/>
      <c r="AT54" s="373"/>
      <c r="AU54" s="373"/>
      <c r="AV54" s="373"/>
      <c r="AW54" s="373"/>
      <c r="AX54" s="373"/>
      <c r="AY54" s="373"/>
      <c r="AZ54" s="373"/>
      <c r="BA54" s="373"/>
      <c r="BB54" s="373"/>
      <c r="BC54" s="373"/>
      <c r="BD54" s="373"/>
    </row>
    <row r="55" spans="1:56" s="390" customFormat="1" ht="12" customHeight="1" x14ac:dyDescent="0.15">
      <c r="A55" s="396" t="s">
        <v>3144</v>
      </c>
      <c r="B55" s="396" t="s">
        <v>2598</v>
      </c>
      <c r="C55" s="396" t="s">
        <v>3024</v>
      </c>
      <c r="D55" s="396" t="s">
        <v>3023</v>
      </c>
      <c r="E55" s="396" t="s">
        <v>2936</v>
      </c>
      <c r="F55" s="382">
        <v>41871</v>
      </c>
      <c r="G55" s="424"/>
      <c r="H55" s="423"/>
      <c r="I55" s="423"/>
      <c r="J55" s="423"/>
      <c r="K55" s="423"/>
      <c r="L55" s="422"/>
      <c r="M55" s="397"/>
      <c r="N55" s="422"/>
      <c r="O55" s="422"/>
      <c r="P55" s="393"/>
      <c r="Q55" s="393"/>
      <c r="R55" s="393"/>
      <c r="S55" s="392"/>
      <c r="T55" s="392"/>
      <c r="U55" s="392"/>
      <c r="V55" s="392"/>
      <c r="W55" s="392"/>
      <c r="X55" s="392"/>
      <c r="Y55" s="392"/>
      <c r="Z55" s="392"/>
      <c r="AA55" s="392"/>
      <c r="AB55" s="392"/>
      <c r="AC55" s="392"/>
      <c r="AD55" s="392"/>
      <c r="AE55" s="392"/>
      <c r="AF55" s="392"/>
      <c r="AG55" s="392"/>
      <c r="AH55" s="392"/>
      <c r="AI55" s="392"/>
      <c r="AJ55" s="392"/>
      <c r="AK55" s="392"/>
      <c r="AL55" s="392"/>
      <c r="AM55" s="392"/>
      <c r="AN55" s="392"/>
      <c r="AO55" s="392"/>
      <c r="AP55" s="392"/>
      <c r="AQ55" s="392"/>
      <c r="AR55" s="392"/>
      <c r="AS55" s="373"/>
      <c r="AT55" s="373"/>
      <c r="AU55" s="373"/>
      <c r="AV55" s="373"/>
      <c r="AW55" s="373"/>
      <c r="AX55" s="373"/>
      <c r="AY55" s="373"/>
      <c r="AZ55" s="373"/>
      <c r="BA55" s="373"/>
      <c r="BB55" s="373"/>
      <c r="BC55" s="373"/>
      <c r="BD55" s="373"/>
    </row>
    <row r="56" spans="1:56" s="390" customFormat="1" ht="12" customHeight="1" x14ac:dyDescent="0.15">
      <c r="A56" s="396" t="s">
        <v>3145</v>
      </c>
      <c r="B56" s="396" t="s">
        <v>2589</v>
      </c>
      <c r="C56" s="396" t="s">
        <v>2997</v>
      </c>
      <c r="D56" s="396" t="s">
        <v>2972</v>
      </c>
      <c r="E56" s="396" t="s">
        <v>3249</v>
      </c>
      <c r="F56" s="382">
        <v>41934</v>
      </c>
      <c r="G56" s="424"/>
      <c r="H56" s="423"/>
      <c r="I56" s="423"/>
      <c r="J56" s="423"/>
      <c r="K56" s="423"/>
      <c r="L56" s="422"/>
      <c r="M56" s="397"/>
      <c r="N56" s="422"/>
      <c r="O56" s="422"/>
      <c r="P56" s="393"/>
      <c r="Q56" s="393"/>
      <c r="R56" s="393"/>
      <c r="S56" s="392"/>
      <c r="T56" s="392"/>
      <c r="U56" s="392"/>
      <c r="V56" s="392"/>
      <c r="W56" s="392"/>
      <c r="X56" s="392"/>
      <c r="Y56" s="392"/>
      <c r="Z56" s="392"/>
      <c r="AA56" s="392"/>
      <c r="AB56" s="392"/>
      <c r="AC56" s="392"/>
      <c r="AD56" s="392"/>
      <c r="AE56" s="392"/>
      <c r="AF56" s="392"/>
      <c r="AG56" s="392"/>
      <c r="AH56" s="392"/>
      <c r="AI56" s="392"/>
      <c r="AJ56" s="392"/>
      <c r="AK56" s="392"/>
      <c r="AL56" s="392"/>
      <c r="AM56" s="392"/>
      <c r="AN56" s="392"/>
      <c r="AO56" s="392"/>
      <c r="AP56" s="392"/>
      <c r="AQ56" s="392"/>
      <c r="AR56" s="392"/>
      <c r="AS56" s="373"/>
      <c r="AT56" s="373"/>
      <c r="AU56" s="373"/>
      <c r="AV56" s="373"/>
      <c r="AW56" s="373"/>
      <c r="AX56" s="373"/>
      <c r="AY56" s="373"/>
      <c r="AZ56" s="373"/>
      <c r="BA56" s="373"/>
      <c r="BB56" s="373"/>
      <c r="BC56" s="373"/>
      <c r="BD56" s="373"/>
    </row>
    <row r="57" spans="1:56" s="390" customFormat="1" ht="12" customHeight="1" x14ac:dyDescent="0.15">
      <c r="A57" s="396" t="s">
        <v>3195</v>
      </c>
      <c r="B57" s="396" t="s">
        <v>2589</v>
      </c>
      <c r="C57" s="396" t="s">
        <v>2961</v>
      </c>
      <c r="D57" s="396" t="s">
        <v>2960</v>
      </c>
      <c r="E57" s="396" t="s">
        <v>2936</v>
      </c>
      <c r="F57" s="382">
        <v>41957</v>
      </c>
      <c r="G57" s="424"/>
      <c r="H57" s="423"/>
      <c r="I57" s="423"/>
      <c r="J57" s="423"/>
      <c r="K57" s="423"/>
      <c r="L57" s="422"/>
      <c r="M57" s="397"/>
      <c r="N57" s="422"/>
      <c r="O57" s="422"/>
      <c r="P57" s="393"/>
      <c r="Q57" s="393"/>
      <c r="R57" s="393"/>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73"/>
      <c r="AT57" s="373"/>
      <c r="AU57" s="373"/>
      <c r="AV57" s="373"/>
      <c r="AW57" s="373"/>
      <c r="AX57" s="373"/>
      <c r="AY57" s="373"/>
      <c r="AZ57" s="373"/>
      <c r="BA57" s="373"/>
      <c r="BB57" s="373"/>
      <c r="BC57" s="373"/>
      <c r="BD57" s="373"/>
    </row>
    <row r="58" spans="1:56" s="390" customFormat="1" ht="12" customHeight="1" x14ac:dyDescent="0.15">
      <c r="A58" s="396" t="s">
        <v>3196</v>
      </c>
      <c r="B58" s="396" t="s">
        <v>2598</v>
      </c>
      <c r="C58" s="396" t="s">
        <v>3017</v>
      </c>
      <c r="D58" s="396" t="s">
        <v>2556</v>
      </c>
      <c r="E58" s="396" t="s">
        <v>2910</v>
      </c>
      <c r="F58" s="382">
        <v>41922</v>
      </c>
      <c r="G58" s="424"/>
      <c r="H58" s="423"/>
      <c r="I58" s="423"/>
      <c r="J58" s="423"/>
      <c r="K58" s="423"/>
      <c r="L58" s="422"/>
      <c r="M58" s="397"/>
      <c r="N58" s="422"/>
      <c r="O58" s="422"/>
      <c r="P58" s="393"/>
      <c r="Q58" s="393"/>
      <c r="R58" s="393"/>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392"/>
      <c r="AR58" s="392"/>
      <c r="AS58" s="373"/>
      <c r="AT58" s="373"/>
      <c r="AU58" s="373"/>
      <c r="AV58" s="373"/>
      <c r="AW58" s="373"/>
      <c r="AX58" s="373"/>
      <c r="AY58" s="373"/>
      <c r="AZ58" s="373"/>
      <c r="BA58" s="373"/>
      <c r="BB58" s="373"/>
      <c r="BC58" s="373"/>
      <c r="BD58" s="373"/>
    </row>
    <row r="59" spans="1:56" s="390" customFormat="1" ht="12" customHeight="1" x14ac:dyDescent="0.15">
      <c r="A59" s="396" t="s">
        <v>3146</v>
      </c>
      <c r="B59" s="396" t="s">
        <v>2589</v>
      </c>
      <c r="C59" s="396" t="s">
        <v>2795</v>
      </c>
      <c r="D59" s="396" t="s">
        <v>2661</v>
      </c>
      <c r="E59" s="396" t="s">
        <v>3250</v>
      </c>
      <c r="F59" s="382">
        <v>41943</v>
      </c>
      <c r="G59" s="424"/>
      <c r="H59" s="423"/>
      <c r="I59" s="423"/>
      <c r="J59" s="423"/>
      <c r="K59" s="423"/>
      <c r="L59" s="422"/>
      <c r="M59" s="397"/>
      <c r="N59" s="422"/>
      <c r="O59" s="422"/>
      <c r="P59" s="393"/>
      <c r="Q59" s="393"/>
      <c r="R59" s="393"/>
      <c r="S59" s="392"/>
      <c r="T59" s="392"/>
      <c r="U59" s="392"/>
      <c r="V59" s="392"/>
      <c r="W59" s="392"/>
      <c r="X59" s="392"/>
      <c r="Y59" s="392"/>
      <c r="Z59" s="392"/>
      <c r="AA59" s="392"/>
      <c r="AB59" s="392"/>
      <c r="AC59" s="392"/>
      <c r="AD59" s="392"/>
      <c r="AE59" s="392"/>
      <c r="AF59" s="392"/>
      <c r="AG59" s="392"/>
      <c r="AH59" s="392"/>
      <c r="AI59" s="392"/>
      <c r="AJ59" s="392"/>
      <c r="AK59" s="392"/>
      <c r="AL59" s="392"/>
      <c r="AM59" s="392"/>
      <c r="AN59" s="392"/>
      <c r="AO59" s="392"/>
      <c r="AP59" s="392"/>
      <c r="AQ59" s="392"/>
      <c r="AR59" s="392"/>
      <c r="AS59" s="373"/>
      <c r="AT59" s="373"/>
      <c r="AU59" s="373"/>
      <c r="AV59" s="373"/>
      <c r="AW59" s="373"/>
      <c r="AX59" s="373"/>
      <c r="AY59" s="373"/>
      <c r="AZ59" s="373"/>
      <c r="BA59" s="373"/>
      <c r="BB59" s="373"/>
      <c r="BC59" s="373"/>
      <c r="BD59" s="373"/>
    </row>
    <row r="60" spans="1:56" s="390" customFormat="1" ht="12" customHeight="1" x14ac:dyDescent="0.15">
      <c r="A60" s="396" t="s">
        <v>4080</v>
      </c>
      <c r="B60" s="396" t="s">
        <v>2598</v>
      </c>
      <c r="C60" s="396" t="s">
        <v>2956</v>
      </c>
      <c r="D60" s="396" t="s">
        <v>2791</v>
      </c>
      <c r="E60" s="396" t="s">
        <v>4079</v>
      </c>
      <c r="F60" s="382">
        <v>41890</v>
      </c>
      <c r="G60" s="424"/>
      <c r="H60" s="423"/>
      <c r="I60" s="423"/>
      <c r="J60" s="423"/>
      <c r="K60" s="423"/>
      <c r="L60" s="422"/>
      <c r="M60" s="397"/>
      <c r="N60" s="422"/>
      <c r="O60" s="422"/>
      <c r="P60" s="393"/>
      <c r="Q60" s="393"/>
      <c r="R60" s="393"/>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73"/>
      <c r="AT60" s="373"/>
      <c r="AU60" s="373"/>
      <c r="AV60" s="373"/>
      <c r="AW60" s="373"/>
      <c r="AX60" s="373"/>
      <c r="AY60" s="373"/>
      <c r="AZ60" s="373"/>
      <c r="BA60" s="373"/>
      <c r="BB60" s="373"/>
      <c r="BC60" s="373"/>
      <c r="BD60" s="373"/>
    </row>
    <row r="61" spans="1:56" s="390" customFormat="1" ht="12" customHeight="1" x14ac:dyDescent="0.15">
      <c r="A61" s="396" t="s">
        <v>3044</v>
      </c>
      <c r="B61" s="396" t="s">
        <v>2589</v>
      </c>
      <c r="C61" s="396" t="s">
        <v>2830</v>
      </c>
      <c r="D61" s="396" t="s">
        <v>2829</v>
      </c>
      <c r="E61" s="396" t="s">
        <v>3043</v>
      </c>
      <c r="F61" s="382">
        <v>41826</v>
      </c>
      <c r="G61" s="424"/>
      <c r="H61" s="423"/>
      <c r="I61" s="423"/>
      <c r="J61" s="423"/>
      <c r="K61" s="423"/>
      <c r="L61" s="422"/>
      <c r="M61" s="397"/>
      <c r="N61" s="422"/>
      <c r="O61" s="422"/>
      <c r="P61" s="393"/>
      <c r="Q61" s="393"/>
      <c r="R61" s="393"/>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73"/>
      <c r="AT61" s="373"/>
      <c r="AU61" s="373"/>
      <c r="AV61" s="373"/>
      <c r="AW61" s="373"/>
      <c r="AX61" s="373"/>
      <c r="AY61" s="373"/>
      <c r="AZ61" s="373"/>
      <c r="BA61" s="373"/>
      <c r="BB61" s="373"/>
      <c r="BC61" s="373"/>
      <c r="BD61" s="373"/>
    </row>
    <row r="62" spans="1:56" s="390" customFormat="1" ht="12" customHeight="1" x14ac:dyDescent="0.15">
      <c r="A62" s="396" t="s">
        <v>3147</v>
      </c>
      <c r="B62" s="396" t="s">
        <v>2598</v>
      </c>
      <c r="C62" s="396" t="s">
        <v>2955</v>
      </c>
      <c r="D62" s="396" t="s">
        <v>2954</v>
      </c>
      <c r="E62" s="396" t="s">
        <v>2936</v>
      </c>
      <c r="F62" s="382">
        <v>41868</v>
      </c>
      <c r="G62" s="424"/>
      <c r="H62" s="423"/>
      <c r="I62" s="423"/>
      <c r="J62" s="423"/>
      <c r="K62" s="423"/>
      <c r="L62" s="422"/>
      <c r="M62" s="397"/>
      <c r="N62" s="422"/>
      <c r="O62" s="422"/>
      <c r="P62" s="393"/>
      <c r="Q62" s="393"/>
      <c r="R62" s="393"/>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73"/>
      <c r="AT62" s="373"/>
      <c r="AU62" s="373"/>
      <c r="AV62" s="373"/>
      <c r="AW62" s="373"/>
      <c r="AX62" s="373"/>
      <c r="AY62" s="373"/>
      <c r="AZ62" s="373"/>
      <c r="BA62" s="373"/>
      <c r="BB62" s="373"/>
      <c r="BC62" s="373"/>
      <c r="BD62" s="373"/>
    </row>
    <row r="63" spans="1:56" s="390" customFormat="1" ht="12" customHeight="1" x14ac:dyDescent="0.15">
      <c r="A63" s="396" t="s">
        <v>3148</v>
      </c>
      <c r="B63" s="396" t="s">
        <v>2598</v>
      </c>
      <c r="C63" s="396" t="s">
        <v>2966</v>
      </c>
      <c r="D63" s="396" t="s">
        <v>2610</v>
      </c>
      <c r="E63" s="396" t="s">
        <v>3251</v>
      </c>
      <c r="F63" s="382">
        <v>41869</v>
      </c>
      <c r="G63" s="424"/>
      <c r="H63" s="423"/>
      <c r="I63" s="423"/>
      <c r="J63" s="423"/>
      <c r="K63" s="423"/>
      <c r="L63" s="422"/>
      <c r="M63" s="397"/>
      <c r="N63" s="422"/>
      <c r="O63" s="422"/>
      <c r="P63" s="393"/>
      <c r="Q63" s="393"/>
      <c r="R63" s="393"/>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73"/>
      <c r="AT63" s="373"/>
      <c r="AU63" s="373"/>
      <c r="AV63" s="373"/>
      <c r="AW63" s="373"/>
      <c r="AX63" s="373"/>
      <c r="AY63" s="373"/>
      <c r="AZ63" s="373"/>
      <c r="BA63" s="373"/>
      <c r="BB63" s="373"/>
      <c r="BC63" s="373"/>
      <c r="BD63" s="373"/>
    </row>
    <row r="64" spans="1:56" s="390" customFormat="1" ht="12" customHeight="1" x14ac:dyDescent="0.15">
      <c r="A64" s="396" t="s">
        <v>3149</v>
      </c>
      <c r="B64" s="396" t="s">
        <v>2589</v>
      </c>
      <c r="C64" s="396" t="s">
        <v>2576</v>
      </c>
      <c r="D64" s="396" t="s">
        <v>2575</v>
      </c>
      <c r="E64" s="396" t="s">
        <v>3241</v>
      </c>
      <c r="F64" s="382">
        <v>41934</v>
      </c>
      <c r="G64" s="424"/>
      <c r="H64" s="423"/>
      <c r="I64" s="423"/>
      <c r="J64" s="423"/>
      <c r="K64" s="423"/>
      <c r="L64" s="422"/>
      <c r="M64" s="397"/>
      <c r="N64" s="422"/>
      <c r="O64" s="422"/>
      <c r="P64" s="393"/>
      <c r="Q64" s="393"/>
      <c r="R64" s="393"/>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73"/>
      <c r="AT64" s="373"/>
      <c r="AU64" s="373"/>
      <c r="AV64" s="373"/>
      <c r="AW64" s="373"/>
      <c r="AX64" s="373"/>
      <c r="AY64" s="373"/>
      <c r="AZ64" s="373"/>
      <c r="BA64" s="373"/>
      <c r="BB64" s="373"/>
      <c r="BC64" s="373"/>
      <c r="BD64" s="373"/>
    </row>
    <row r="65" spans="1:56" s="390" customFormat="1" ht="12" customHeight="1" x14ac:dyDescent="0.15">
      <c r="A65" s="396" t="s">
        <v>3150</v>
      </c>
      <c r="B65" s="396" t="s">
        <v>2589</v>
      </c>
      <c r="C65" s="396" t="s">
        <v>2537</v>
      </c>
      <c r="D65" s="396" t="s">
        <v>3003</v>
      </c>
      <c r="E65" s="396" t="s">
        <v>2555</v>
      </c>
      <c r="F65" s="382">
        <v>41949</v>
      </c>
      <c r="G65" s="424"/>
      <c r="H65" s="423"/>
      <c r="I65" s="423"/>
      <c r="J65" s="423"/>
      <c r="K65" s="423"/>
      <c r="L65" s="422"/>
      <c r="M65" s="397"/>
      <c r="N65" s="422"/>
      <c r="O65" s="422"/>
      <c r="P65" s="393"/>
      <c r="Q65" s="393"/>
      <c r="R65" s="393"/>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73"/>
      <c r="AT65" s="373"/>
      <c r="AU65" s="373"/>
      <c r="AV65" s="373"/>
      <c r="AW65" s="373"/>
      <c r="AX65" s="373"/>
      <c r="AY65" s="373"/>
      <c r="AZ65" s="373"/>
      <c r="BA65" s="373"/>
      <c r="BB65" s="373"/>
      <c r="BC65" s="373"/>
      <c r="BD65" s="373"/>
    </row>
    <row r="66" spans="1:56" s="390" customFormat="1" ht="12" customHeight="1" x14ac:dyDescent="0.15">
      <c r="A66" s="396" t="s">
        <v>3197</v>
      </c>
      <c r="B66" s="396" t="s">
        <v>2589</v>
      </c>
      <c r="C66" s="396" t="s">
        <v>2973</v>
      </c>
      <c r="D66" s="396" t="s">
        <v>2972</v>
      </c>
      <c r="E66" s="396" t="s">
        <v>2555</v>
      </c>
      <c r="F66" s="382">
        <v>41877</v>
      </c>
      <c r="G66" s="424"/>
      <c r="H66" s="423"/>
      <c r="I66" s="423"/>
      <c r="J66" s="423"/>
      <c r="K66" s="423"/>
      <c r="L66" s="422"/>
      <c r="M66" s="397"/>
      <c r="N66" s="422"/>
      <c r="O66" s="422"/>
      <c r="P66" s="393"/>
      <c r="Q66" s="393"/>
      <c r="R66" s="393"/>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73"/>
      <c r="AT66" s="373"/>
      <c r="AU66" s="373"/>
      <c r="AV66" s="373"/>
      <c r="AW66" s="373"/>
      <c r="AX66" s="373"/>
      <c r="AY66" s="373"/>
      <c r="AZ66" s="373"/>
      <c r="BA66" s="373"/>
      <c r="BB66" s="373"/>
      <c r="BC66" s="373"/>
      <c r="BD66" s="373"/>
    </row>
    <row r="67" spans="1:56" s="390" customFormat="1" ht="12" customHeight="1" x14ac:dyDescent="0.15">
      <c r="A67" s="396" t="s">
        <v>3151</v>
      </c>
      <c r="B67" s="396" t="s">
        <v>2598</v>
      </c>
      <c r="C67" s="396" t="s">
        <v>2948</v>
      </c>
      <c r="D67" s="396" t="s">
        <v>2947</v>
      </c>
      <c r="E67" s="396" t="s">
        <v>3240</v>
      </c>
      <c r="F67" s="382">
        <v>41890</v>
      </c>
      <c r="G67" s="424"/>
      <c r="H67" s="423"/>
      <c r="I67" s="423"/>
      <c r="J67" s="423"/>
      <c r="K67" s="423"/>
      <c r="L67" s="422"/>
      <c r="M67" s="397"/>
      <c r="N67" s="422"/>
      <c r="O67" s="422"/>
      <c r="P67" s="393"/>
      <c r="Q67" s="393"/>
      <c r="R67" s="393"/>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73"/>
      <c r="AT67" s="373"/>
      <c r="AU67" s="373"/>
      <c r="AV67" s="373"/>
      <c r="AW67" s="373"/>
      <c r="AX67" s="373"/>
      <c r="AY67" s="373"/>
      <c r="AZ67" s="373"/>
      <c r="BA67" s="373"/>
      <c r="BB67" s="373"/>
      <c r="BC67" s="373"/>
      <c r="BD67" s="373"/>
    </row>
    <row r="68" spans="1:56" s="390" customFormat="1" ht="12" customHeight="1" x14ac:dyDescent="0.15">
      <c r="A68" s="396" t="s">
        <v>3152</v>
      </c>
      <c r="B68" s="396" t="s">
        <v>2598</v>
      </c>
      <c r="C68" s="396" t="s">
        <v>3026</v>
      </c>
      <c r="D68" s="396" t="s">
        <v>2917</v>
      </c>
      <c r="E68" s="396" t="s">
        <v>2936</v>
      </c>
      <c r="F68" s="382">
        <v>41931</v>
      </c>
      <c r="G68" s="424"/>
      <c r="H68" s="423"/>
      <c r="I68" s="423"/>
      <c r="J68" s="423"/>
      <c r="K68" s="423"/>
      <c r="L68" s="422"/>
      <c r="M68" s="397"/>
      <c r="N68" s="422"/>
      <c r="O68" s="422"/>
      <c r="P68" s="393"/>
      <c r="Q68" s="393"/>
      <c r="R68" s="393"/>
      <c r="S68" s="392"/>
      <c r="T68" s="392"/>
      <c r="U68" s="392"/>
      <c r="V68" s="392"/>
      <c r="W68" s="392"/>
      <c r="X68" s="392"/>
      <c r="Y68" s="392"/>
      <c r="Z68" s="392"/>
      <c r="AA68" s="392"/>
      <c r="AB68" s="392"/>
      <c r="AC68" s="392"/>
      <c r="AD68" s="392"/>
      <c r="AE68" s="392"/>
      <c r="AF68" s="392"/>
      <c r="AG68" s="392"/>
      <c r="AH68" s="392"/>
      <c r="AI68" s="392"/>
      <c r="AJ68" s="392"/>
      <c r="AK68" s="392"/>
      <c r="AL68" s="392"/>
      <c r="AM68" s="392"/>
      <c r="AN68" s="392"/>
      <c r="AO68" s="392"/>
      <c r="AP68" s="392"/>
      <c r="AQ68" s="392"/>
      <c r="AR68" s="392"/>
      <c r="AS68" s="373"/>
      <c r="AT68" s="373"/>
      <c r="AU68" s="373"/>
      <c r="AV68" s="373"/>
      <c r="AW68" s="373"/>
      <c r="AX68" s="373"/>
      <c r="AY68" s="373"/>
      <c r="AZ68" s="373"/>
      <c r="BA68" s="373"/>
      <c r="BB68" s="373"/>
      <c r="BC68" s="373"/>
      <c r="BD68" s="373"/>
    </row>
    <row r="69" spans="1:56" s="390" customFormat="1" ht="12" customHeight="1" x14ac:dyDescent="0.15">
      <c r="A69" s="396" t="s">
        <v>3153</v>
      </c>
      <c r="B69" s="396" t="s">
        <v>2589</v>
      </c>
      <c r="C69" s="396" t="s">
        <v>2984</v>
      </c>
      <c r="D69" s="396" t="s">
        <v>2628</v>
      </c>
      <c r="E69" s="396" t="s">
        <v>2925</v>
      </c>
      <c r="F69" s="382">
        <v>41962</v>
      </c>
      <c r="G69" s="424"/>
      <c r="H69" s="423"/>
      <c r="I69" s="423"/>
      <c r="J69" s="423"/>
      <c r="K69" s="423"/>
      <c r="L69" s="422"/>
      <c r="M69" s="397"/>
      <c r="N69" s="422"/>
      <c r="O69" s="422"/>
      <c r="P69" s="393"/>
      <c r="Q69" s="393"/>
      <c r="R69" s="393"/>
      <c r="S69" s="392"/>
      <c r="T69" s="392"/>
      <c r="U69" s="392"/>
      <c r="V69" s="392"/>
      <c r="W69" s="392"/>
      <c r="X69" s="392"/>
      <c r="Y69" s="392"/>
      <c r="Z69" s="392"/>
      <c r="AA69" s="392"/>
      <c r="AB69" s="392"/>
      <c r="AC69" s="392"/>
      <c r="AD69" s="392"/>
      <c r="AE69" s="392"/>
      <c r="AF69" s="392"/>
      <c r="AG69" s="392"/>
      <c r="AH69" s="392"/>
      <c r="AI69" s="392"/>
      <c r="AJ69" s="392"/>
      <c r="AK69" s="392"/>
      <c r="AL69" s="392"/>
      <c r="AM69" s="392"/>
      <c r="AN69" s="392"/>
      <c r="AO69" s="392"/>
      <c r="AP69" s="392"/>
      <c r="AQ69" s="392"/>
      <c r="AR69" s="392"/>
      <c r="AS69" s="373"/>
      <c r="AT69" s="373"/>
      <c r="AU69" s="373"/>
      <c r="AV69" s="373"/>
      <c r="AW69" s="373"/>
      <c r="AX69" s="373"/>
      <c r="AY69" s="373"/>
      <c r="AZ69" s="373"/>
      <c r="BA69" s="373"/>
      <c r="BB69" s="373"/>
      <c r="BC69" s="373"/>
      <c r="BD69" s="373"/>
    </row>
    <row r="70" spans="1:56" s="390" customFormat="1" ht="12" customHeight="1" x14ac:dyDescent="0.15">
      <c r="A70" s="396"/>
      <c r="B70" s="396"/>
      <c r="C70" s="396" t="s">
        <v>3036</v>
      </c>
      <c r="D70" s="396" t="s">
        <v>2863</v>
      </c>
      <c r="E70" s="396" t="s">
        <v>3252</v>
      </c>
      <c r="F70" s="382"/>
      <c r="G70" s="424"/>
      <c r="H70" s="423"/>
      <c r="I70" s="423"/>
      <c r="J70" s="423"/>
      <c r="K70" s="423"/>
      <c r="L70" s="422"/>
      <c r="M70" s="397"/>
      <c r="N70" s="422"/>
      <c r="O70" s="422"/>
      <c r="P70" s="393"/>
      <c r="Q70" s="393"/>
      <c r="R70" s="393"/>
      <c r="S70" s="392"/>
      <c r="T70" s="392"/>
      <c r="U70" s="392"/>
      <c r="V70" s="392"/>
      <c r="W70" s="392"/>
      <c r="X70" s="392"/>
      <c r="Y70" s="392"/>
      <c r="Z70" s="392"/>
      <c r="AA70" s="392"/>
      <c r="AB70" s="392"/>
      <c r="AC70" s="392"/>
      <c r="AD70" s="392"/>
      <c r="AE70" s="392"/>
      <c r="AF70" s="392"/>
      <c r="AG70" s="392"/>
      <c r="AH70" s="392"/>
      <c r="AI70" s="392"/>
      <c r="AJ70" s="392"/>
      <c r="AK70" s="392"/>
      <c r="AL70" s="392"/>
      <c r="AM70" s="392"/>
      <c r="AN70" s="392"/>
      <c r="AO70" s="392"/>
      <c r="AP70" s="392"/>
      <c r="AQ70" s="392"/>
      <c r="AR70" s="392"/>
      <c r="AS70" s="373"/>
      <c r="AT70" s="373"/>
      <c r="AU70" s="373"/>
      <c r="AV70" s="373"/>
      <c r="AW70" s="373"/>
      <c r="AX70" s="373"/>
      <c r="AY70" s="373"/>
      <c r="AZ70" s="373"/>
      <c r="BA70" s="373"/>
      <c r="BB70" s="373"/>
      <c r="BC70" s="373"/>
      <c r="BD70" s="373"/>
    </row>
    <row r="71" spans="1:56" s="390" customFormat="1" ht="12" customHeight="1" x14ac:dyDescent="0.15">
      <c r="A71" s="396"/>
      <c r="B71" s="396"/>
      <c r="C71" s="396" t="s">
        <v>3035</v>
      </c>
      <c r="D71" s="396" t="s">
        <v>3034</v>
      </c>
      <c r="E71" s="396"/>
      <c r="F71" s="382"/>
      <c r="G71" s="424"/>
      <c r="H71" s="423"/>
      <c r="I71" s="423"/>
      <c r="J71" s="423"/>
      <c r="K71" s="423"/>
      <c r="L71" s="422"/>
      <c r="M71" s="397"/>
      <c r="N71" s="422"/>
      <c r="O71" s="422"/>
      <c r="P71" s="393"/>
      <c r="Q71" s="393"/>
      <c r="R71" s="393"/>
      <c r="S71" s="392"/>
      <c r="T71" s="392"/>
      <c r="U71" s="392"/>
      <c r="V71" s="392"/>
      <c r="W71" s="392"/>
      <c r="X71" s="392"/>
      <c r="Y71" s="392"/>
      <c r="Z71" s="392"/>
      <c r="AA71" s="392"/>
      <c r="AB71" s="392"/>
      <c r="AC71" s="392"/>
      <c r="AD71" s="392"/>
      <c r="AE71" s="392"/>
      <c r="AF71" s="392"/>
      <c r="AG71" s="392"/>
      <c r="AH71" s="392"/>
      <c r="AI71" s="392"/>
      <c r="AJ71" s="392"/>
      <c r="AK71" s="392"/>
      <c r="AL71" s="392"/>
      <c r="AM71" s="392"/>
      <c r="AN71" s="392"/>
      <c r="AO71" s="392"/>
      <c r="AP71" s="392"/>
      <c r="AQ71" s="392"/>
      <c r="AR71" s="392"/>
      <c r="AS71" s="373"/>
      <c r="AT71" s="373"/>
      <c r="AU71" s="373"/>
      <c r="AV71" s="373"/>
      <c r="AW71" s="373"/>
      <c r="AX71" s="373"/>
      <c r="AY71" s="373"/>
      <c r="AZ71" s="373"/>
      <c r="BA71" s="373"/>
      <c r="BB71" s="373"/>
      <c r="BC71" s="373"/>
      <c r="BD71" s="373"/>
    </row>
    <row r="72" spans="1:56" s="390" customFormat="1" ht="12" customHeight="1" x14ac:dyDescent="0.15">
      <c r="A72" s="396"/>
      <c r="B72" s="396"/>
      <c r="C72" s="396" t="s">
        <v>3033</v>
      </c>
      <c r="D72" s="396" t="s">
        <v>2926</v>
      </c>
      <c r="E72" s="396"/>
      <c r="F72" s="382"/>
      <c r="G72" s="424"/>
      <c r="H72" s="423"/>
      <c r="I72" s="423"/>
      <c r="J72" s="423"/>
      <c r="K72" s="423"/>
      <c r="L72" s="422"/>
      <c r="M72" s="397"/>
      <c r="N72" s="422"/>
      <c r="O72" s="422"/>
      <c r="P72" s="393"/>
      <c r="Q72" s="393"/>
      <c r="R72" s="393"/>
      <c r="S72" s="392"/>
      <c r="T72" s="392"/>
      <c r="U72" s="392"/>
      <c r="V72" s="392"/>
      <c r="W72" s="392"/>
      <c r="X72" s="392"/>
      <c r="Y72" s="392"/>
      <c r="Z72" s="392"/>
      <c r="AA72" s="392"/>
      <c r="AB72" s="392"/>
      <c r="AC72" s="392"/>
      <c r="AD72" s="392"/>
      <c r="AE72" s="392"/>
      <c r="AF72" s="392"/>
      <c r="AG72" s="392"/>
      <c r="AH72" s="392"/>
      <c r="AI72" s="392"/>
      <c r="AJ72" s="392"/>
      <c r="AK72" s="392"/>
      <c r="AL72" s="392"/>
      <c r="AM72" s="392"/>
      <c r="AN72" s="392"/>
      <c r="AO72" s="392"/>
      <c r="AP72" s="392"/>
      <c r="AQ72" s="392"/>
      <c r="AR72" s="392"/>
      <c r="AS72" s="373"/>
      <c r="AT72" s="373"/>
      <c r="AU72" s="373"/>
      <c r="AV72" s="373"/>
      <c r="AW72" s="373"/>
      <c r="AX72" s="373"/>
      <c r="AY72" s="373"/>
      <c r="AZ72" s="373"/>
      <c r="BA72" s="373"/>
      <c r="BB72" s="373"/>
      <c r="BC72" s="373"/>
      <c r="BD72" s="373"/>
    </row>
    <row r="73" spans="1:56" s="390" customFormat="1" ht="12" customHeight="1" x14ac:dyDescent="0.15">
      <c r="A73" s="396"/>
      <c r="B73" s="396"/>
      <c r="C73" s="396" t="s">
        <v>3028</v>
      </c>
      <c r="D73" s="396" t="s">
        <v>2670</v>
      </c>
      <c r="E73" s="396"/>
      <c r="F73" s="382"/>
      <c r="G73" s="424"/>
      <c r="H73" s="423"/>
      <c r="I73" s="423"/>
      <c r="J73" s="423"/>
      <c r="K73" s="423"/>
      <c r="L73" s="422"/>
      <c r="M73" s="397"/>
      <c r="N73" s="422"/>
      <c r="O73" s="422"/>
      <c r="P73" s="393"/>
      <c r="Q73" s="393"/>
      <c r="R73" s="393"/>
      <c r="S73" s="392"/>
      <c r="T73" s="392"/>
      <c r="U73" s="392"/>
      <c r="V73" s="392"/>
      <c r="W73" s="392"/>
      <c r="X73" s="392"/>
      <c r="Y73" s="392"/>
      <c r="Z73" s="392"/>
      <c r="AA73" s="392"/>
      <c r="AB73" s="392"/>
      <c r="AC73" s="392"/>
      <c r="AD73" s="392"/>
      <c r="AE73" s="392"/>
      <c r="AF73" s="392"/>
      <c r="AG73" s="392"/>
      <c r="AH73" s="392"/>
      <c r="AI73" s="392"/>
      <c r="AJ73" s="392"/>
      <c r="AK73" s="392"/>
      <c r="AL73" s="392"/>
      <c r="AM73" s="392"/>
      <c r="AN73" s="392"/>
      <c r="AO73" s="392"/>
      <c r="AP73" s="392"/>
      <c r="AQ73" s="392"/>
      <c r="AR73" s="392"/>
      <c r="AS73" s="373"/>
      <c r="AT73" s="373"/>
      <c r="AU73" s="373"/>
      <c r="AV73" s="373"/>
      <c r="AW73" s="373"/>
      <c r="AX73" s="373"/>
      <c r="AY73" s="373"/>
      <c r="AZ73" s="373"/>
      <c r="BA73" s="373"/>
      <c r="BB73" s="373"/>
      <c r="BC73" s="373"/>
      <c r="BD73" s="373"/>
    </row>
    <row r="74" spans="1:56" s="390" customFormat="1" ht="12" customHeight="1" x14ac:dyDescent="0.15">
      <c r="A74" s="396"/>
      <c r="B74" s="396"/>
      <c r="C74" s="396" t="s">
        <v>3020</v>
      </c>
      <c r="D74" s="396" t="s">
        <v>3019</v>
      </c>
      <c r="E74" s="396"/>
      <c r="F74" s="382"/>
      <c r="G74" s="424"/>
      <c r="H74" s="423"/>
      <c r="I74" s="423"/>
      <c r="J74" s="423"/>
      <c r="K74" s="423"/>
      <c r="L74" s="422"/>
      <c r="M74" s="397"/>
      <c r="N74" s="422"/>
      <c r="O74" s="422"/>
      <c r="P74" s="393"/>
      <c r="Q74" s="393"/>
      <c r="R74" s="393"/>
      <c r="S74" s="392"/>
      <c r="T74" s="392"/>
      <c r="U74" s="392"/>
      <c r="V74" s="392"/>
      <c r="W74" s="392"/>
      <c r="X74" s="392"/>
      <c r="Y74" s="392"/>
      <c r="Z74" s="392"/>
      <c r="AA74" s="392"/>
      <c r="AB74" s="392"/>
      <c r="AC74" s="392"/>
      <c r="AD74" s="392"/>
      <c r="AE74" s="392"/>
      <c r="AF74" s="392"/>
      <c r="AG74" s="392"/>
      <c r="AH74" s="392"/>
      <c r="AI74" s="392"/>
      <c r="AJ74" s="392"/>
      <c r="AK74" s="392"/>
      <c r="AL74" s="392"/>
      <c r="AM74" s="392"/>
      <c r="AN74" s="392"/>
      <c r="AO74" s="392"/>
      <c r="AP74" s="392"/>
      <c r="AQ74" s="392"/>
      <c r="AR74" s="392"/>
      <c r="AS74" s="373"/>
      <c r="AT74" s="373"/>
      <c r="AU74" s="373"/>
      <c r="AV74" s="373"/>
      <c r="AW74" s="373"/>
      <c r="AX74" s="373"/>
      <c r="AY74" s="373"/>
      <c r="AZ74" s="373"/>
      <c r="BA74" s="373"/>
      <c r="BB74" s="373"/>
      <c r="BC74" s="373"/>
      <c r="BD74" s="373"/>
    </row>
    <row r="75" spans="1:56" s="390" customFormat="1" ht="12" customHeight="1" x14ac:dyDescent="0.15">
      <c r="A75" s="396"/>
      <c r="B75" s="396"/>
      <c r="C75" s="396" t="s">
        <v>2650</v>
      </c>
      <c r="D75" s="396" t="s">
        <v>2649</v>
      </c>
      <c r="E75" s="396"/>
      <c r="F75" s="382"/>
      <c r="G75" s="424"/>
      <c r="H75" s="423"/>
      <c r="I75" s="423"/>
      <c r="J75" s="423"/>
      <c r="K75" s="423"/>
      <c r="L75" s="422"/>
      <c r="M75" s="397"/>
      <c r="N75" s="422"/>
      <c r="O75" s="422"/>
      <c r="P75" s="393"/>
      <c r="Q75" s="393"/>
      <c r="R75" s="393"/>
      <c r="S75" s="392"/>
      <c r="T75" s="392"/>
      <c r="U75" s="392"/>
      <c r="V75" s="392"/>
      <c r="W75" s="392"/>
      <c r="X75" s="392"/>
      <c r="Y75" s="392"/>
      <c r="Z75" s="392"/>
      <c r="AA75" s="392"/>
      <c r="AB75" s="392"/>
      <c r="AC75" s="392"/>
      <c r="AD75" s="392"/>
      <c r="AE75" s="392"/>
      <c r="AF75" s="392"/>
      <c r="AG75" s="392"/>
      <c r="AH75" s="392"/>
      <c r="AI75" s="392"/>
      <c r="AJ75" s="392"/>
      <c r="AK75" s="392"/>
      <c r="AL75" s="392"/>
      <c r="AM75" s="392"/>
      <c r="AN75" s="392"/>
      <c r="AO75" s="392"/>
      <c r="AP75" s="392"/>
      <c r="AQ75" s="392"/>
      <c r="AR75" s="392"/>
      <c r="AS75" s="373"/>
      <c r="AT75" s="373"/>
      <c r="AU75" s="373"/>
      <c r="AV75" s="373"/>
      <c r="AW75" s="373"/>
      <c r="AX75" s="373"/>
      <c r="AY75" s="373"/>
      <c r="AZ75" s="373"/>
      <c r="BA75" s="373"/>
      <c r="BB75" s="373"/>
      <c r="BC75" s="373"/>
      <c r="BD75" s="373"/>
    </row>
    <row r="76" spans="1:56" s="390" customFormat="1" ht="12" customHeight="1" x14ac:dyDescent="0.15">
      <c r="A76" s="396"/>
      <c r="B76" s="396"/>
      <c r="C76" s="396" t="s">
        <v>3016</v>
      </c>
      <c r="D76" s="396" t="s">
        <v>3015</v>
      </c>
      <c r="E76" s="396"/>
      <c r="F76" s="382"/>
      <c r="G76" s="424"/>
      <c r="H76" s="423"/>
      <c r="I76" s="423"/>
      <c r="J76" s="423"/>
      <c r="K76" s="423"/>
      <c r="L76" s="422"/>
      <c r="M76" s="397"/>
      <c r="N76" s="422"/>
      <c r="O76" s="422"/>
      <c r="P76" s="393"/>
      <c r="Q76" s="393"/>
      <c r="R76" s="393"/>
      <c r="S76" s="392"/>
      <c r="T76" s="392"/>
      <c r="U76" s="392"/>
      <c r="V76" s="392"/>
      <c r="W76" s="392"/>
      <c r="X76" s="392"/>
      <c r="Y76" s="392"/>
      <c r="Z76" s="392"/>
      <c r="AA76" s="392"/>
      <c r="AB76" s="392"/>
      <c r="AC76" s="392"/>
      <c r="AD76" s="392"/>
      <c r="AE76" s="392"/>
      <c r="AF76" s="392"/>
      <c r="AG76" s="392"/>
      <c r="AH76" s="392"/>
      <c r="AI76" s="392"/>
      <c r="AJ76" s="392"/>
      <c r="AK76" s="392"/>
      <c r="AL76" s="392"/>
      <c r="AM76" s="392"/>
      <c r="AN76" s="392"/>
      <c r="AO76" s="392"/>
      <c r="AP76" s="392"/>
      <c r="AQ76" s="392"/>
      <c r="AR76" s="392"/>
      <c r="AS76" s="373"/>
      <c r="AT76" s="373"/>
      <c r="AU76" s="373"/>
      <c r="AV76" s="373"/>
      <c r="AW76" s="373"/>
      <c r="AX76" s="373"/>
      <c r="AY76" s="373"/>
      <c r="AZ76" s="373"/>
      <c r="BA76" s="373"/>
      <c r="BB76" s="373"/>
      <c r="BC76" s="373"/>
      <c r="BD76" s="373"/>
    </row>
    <row r="77" spans="1:56" s="390" customFormat="1" ht="12" customHeight="1" x14ac:dyDescent="0.15">
      <c r="A77" s="396"/>
      <c r="B77" s="396"/>
      <c r="C77" s="396" t="s">
        <v>3014</v>
      </c>
      <c r="D77" s="396" t="s">
        <v>3013</v>
      </c>
      <c r="E77" s="396"/>
      <c r="F77" s="382"/>
      <c r="G77" s="424"/>
      <c r="H77" s="423"/>
      <c r="I77" s="423"/>
      <c r="J77" s="423"/>
      <c r="K77" s="423"/>
      <c r="L77" s="422"/>
      <c r="M77" s="397"/>
      <c r="N77" s="422"/>
      <c r="O77" s="422"/>
      <c r="P77" s="393"/>
      <c r="Q77" s="393"/>
      <c r="R77" s="393"/>
      <c r="S77" s="392"/>
      <c r="T77" s="392"/>
      <c r="U77" s="392"/>
      <c r="V77" s="392"/>
      <c r="W77" s="392"/>
      <c r="X77" s="392"/>
      <c r="Y77" s="392"/>
      <c r="Z77" s="392"/>
      <c r="AA77" s="392"/>
      <c r="AB77" s="392"/>
      <c r="AC77" s="392"/>
      <c r="AD77" s="392"/>
      <c r="AE77" s="392"/>
      <c r="AF77" s="392"/>
      <c r="AG77" s="392"/>
      <c r="AH77" s="392"/>
      <c r="AI77" s="392"/>
      <c r="AJ77" s="392"/>
      <c r="AK77" s="392"/>
      <c r="AL77" s="392"/>
      <c r="AM77" s="392"/>
      <c r="AN77" s="392"/>
      <c r="AO77" s="392"/>
      <c r="AP77" s="392"/>
      <c r="AQ77" s="392"/>
      <c r="AR77" s="392"/>
      <c r="AS77" s="373"/>
      <c r="AT77" s="373"/>
      <c r="AU77" s="373"/>
      <c r="AV77" s="373"/>
      <c r="AW77" s="373"/>
      <c r="AX77" s="373"/>
      <c r="AY77" s="373"/>
      <c r="AZ77" s="373"/>
      <c r="BA77" s="373"/>
      <c r="BB77" s="373"/>
      <c r="BC77" s="373"/>
      <c r="BD77" s="373"/>
    </row>
    <row r="78" spans="1:56" s="390" customFormat="1" ht="12" customHeight="1" x14ac:dyDescent="0.15">
      <c r="A78" s="396"/>
      <c r="B78" s="396"/>
      <c r="C78" s="396" t="s">
        <v>3012</v>
      </c>
      <c r="D78" s="396" t="s">
        <v>3011</v>
      </c>
      <c r="E78" s="396"/>
      <c r="F78" s="382"/>
      <c r="G78" s="424"/>
      <c r="H78" s="423"/>
      <c r="I78" s="423"/>
      <c r="J78" s="423"/>
      <c r="K78" s="423"/>
      <c r="L78" s="422"/>
      <c r="M78" s="397"/>
      <c r="N78" s="422"/>
      <c r="O78" s="422"/>
      <c r="P78" s="393"/>
      <c r="Q78" s="393"/>
      <c r="R78" s="393"/>
      <c r="S78" s="392"/>
      <c r="T78" s="392"/>
      <c r="U78" s="392"/>
      <c r="V78" s="392"/>
      <c r="W78" s="392"/>
      <c r="X78" s="392"/>
      <c r="Y78" s="392"/>
      <c r="Z78" s="392"/>
      <c r="AA78" s="392"/>
      <c r="AB78" s="392"/>
      <c r="AC78" s="392"/>
      <c r="AD78" s="392"/>
      <c r="AE78" s="392"/>
      <c r="AF78" s="392"/>
      <c r="AG78" s="392"/>
      <c r="AH78" s="392"/>
      <c r="AI78" s="392"/>
      <c r="AJ78" s="392"/>
      <c r="AK78" s="392"/>
      <c r="AL78" s="392"/>
      <c r="AM78" s="392"/>
      <c r="AN78" s="392"/>
      <c r="AO78" s="392"/>
      <c r="AP78" s="392"/>
      <c r="AQ78" s="392"/>
      <c r="AR78" s="392"/>
      <c r="AS78" s="373"/>
      <c r="AT78" s="373"/>
      <c r="AU78" s="373"/>
      <c r="AV78" s="373"/>
      <c r="AW78" s="373"/>
      <c r="AX78" s="373"/>
      <c r="AY78" s="373"/>
      <c r="AZ78" s="373"/>
      <c r="BA78" s="373"/>
      <c r="BB78" s="373"/>
      <c r="BC78" s="373"/>
      <c r="BD78" s="373"/>
    </row>
    <row r="79" spans="1:56" s="390" customFormat="1" ht="12" customHeight="1" x14ac:dyDescent="0.15">
      <c r="A79" s="396"/>
      <c r="B79" s="396"/>
      <c r="C79" s="396" t="s">
        <v>3007</v>
      </c>
      <c r="D79" s="396" t="s">
        <v>3006</v>
      </c>
      <c r="E79" s="396"/>
      <c r="F79" s="382"/>
      <c r="G79" s="424"/>
      <c r="H79" s="423"/>
      <c r="I79" s="423"/>
      <c r="J79" s="423"/>
      <c r="K79" s="423"/>
      <c r="L79" s="422"/>
      <c r="M79" s="397"/>
      <c r="N79" s="422"/>
      <c r="O79" s="422"/>
      <c r="P79" s="393"/>
      <c r="Q79" s="393"/>
      <c r="R79" s="393"/>
      <c r="S79" s="392"/>
      <c r="T79" s="392"/>
      <c r="U79" s="392"/>
      <c r="V79" s="392"/>
      <c r="W79" s="392"/>
      <c r="X79" s="392"/>
      <c r="Y79" s="392"/>
      <c r="Z79" s="392"/>
      <c r="AA79" s="392"/>
      <c r="AB79" s="392"/>
      <c r="AC79" s="392"/>
      <c r="AD79" s="392"/>
      <c r="AE79" s="392"/>
      <c r="AF79" s="392"/>
      <c r="AG79" s="392"/>
      <c r="AH79" s="392"/>
      <c r="AI79" s="392"/>
      <c r="AJ79" s="392"/>
      <c r="AK79" s="392"/>
      <c r="AL79" s="392"/>
      <c r="AM79" s="392"/>
      <c r="AN79" s="392"/>
      <c r="AO79" s="392"/>
      <c r="AP79" s="392"/>
      <c r="AQ79" s="392"/>
      <c r="AR79" s="392"/>
      <c r="AS79" s="373"/>
      <c r="AT79" s="373"/>
      <c r="AU79" s="373"/>
      <c r="AV79" s="373"/>
      <c r="AW79" s="373"/>
      <c r="AX79" s="373"/>
      <c r="AY79" s="373"/>
      <c r="AZ79" s="373"/>
      <c r="BA79" s="373"/>
      <c r="BB79" s="373"/>
      <c r="BC79" s="373"/>
      <c r="BD79" s="373"/>
    </row>
    <row r="80" spans="1:56" s="390" customFormat="1" ht="12" customHeight="1" x14ac:dyDescent="0.15">
      <c r="A80" s="396"/>
      <c r="B80" s="396"/>
      <c r="C80" s="396" t="s">
        <v>3005</v>
      </c>
      <c r="D80" s="396" t="s">
        <v>2967</v>
      </c>
      <c r="E80" s="396"/>
      <c r="F80" s="382"/>
      <c r="G80" s="424"/>
      <c r="H80" s="423"/>
      <c r="I80" s="423"/>
      <c r="J80" s="423"/>
      <c r="K80" s="423"/>
      <c r="L80" s="422"/>
      <c r="M80" s="397"/>
      <c r="N80" s="422"/>
      <c r="O80" s="422"/>
      <c r="P80" s="393"/>
      <c r="Q80" s="393"/>
      <c r="R80" s="393"/>
      <c r="S80" s="392"/>
      <c r="T80" s="392"/>
      <c r="U80" s="392"/>
      <c r="V80" s="392"/>
      <c r="W80" s="392"/>
      <c r="X80" s="392"/>
      <c r="Y80" s="392"/>
      <c r="Z80" s="392"/>
      <c r="AA80" s="392"/>
      <c r="AB80" s="392"/>
      <c r="AC80" s="392"/>
      <c r="AD80" s="392"/>
      <c r="AE80" s="392"/>
      <c r="AF80" s="392"/>
      <c r="AG80" s="392"/>
      <c r="AH80" s="392"/>
      <c r="AI80" s="392"/>
      <c r="AJ80" s="392"/>
      <c r="AK80" s="392"/>
      <c r="AL80" s="392"/>
      <c r="AM80" s="392"/>
      <c r="AN80" s="392"/>
      <c r="AO80" s="392"/>
      <c r="AP80" s="392"/>
      <c r="AQ80" s="392"/>
      <c r="AR80" s="392"/>
      <c r="AS80" s="373"/>
      <c r="AT80" s="373"/>
      <c r="AU80" s="373"/>
      <c r="AV80" s="373"/>
      <c r="AW80" s="373"/>
      <c r="AX80" s="373"/>
      <c r="AY80" s="373"/>
      <c r="AZ80" s="373"/>
      <c r="BA80" s="373"/>
      <c r="BB80" s="373"/>
      <c r="BC80" s="373"/>
      <c r="BD80" s="373"/>
    </row>
    <row r="81" spans="1:56" s="390" customFormat="1" ht="12" customHeight="1" x14ac:dyDescent="0.15">
      <c r="A81" s="396"/>
      <c r="B81" s="396"/>
      <c r="C81" s="396" t="s">
        <v>2804</v>
      </c>
      <c r="D81" s="396" t="s">
        <v>3004</v>
      </c>
      <c r="E81" s="396"/>
      <c r="F81" s="382"/>
      <c r="G81" s="424"/>
      <c r="H81" s="423"/>
      <c r="I81" s="423"/>
      <c r="J81" s="423"/>
      <c r="K81" s="423"/>
      <c r="L81" s="422"/>
      <c r="M81" s="397"/>
      <c r="N81" s="422"/>
      <c r="O81" s="422"/>
      <c r="P81" s="393"/>
      <c r="Q81" s="393"/>
      <c r="R81" s="393"/>
      <c r="S81" s="392"/>
      <c r="T81" s="392"/>
      <c r="U81" s="392"/>
      <c r="V81" s="392"/>
      <c r="W81" s="392"/>
      <c r="X81" s="392"/>
      <c r="Y81" s="392"/>
      <c r="Z81" s="392"/>
      <c r="AA81" s="392"/>
      <c r="AB81" s="392"/>
      <c r="AC81" s="392"/>
      <c r="AD81" s="392"/>
      <c r="AE81" s="392"/>
      <c r="AF81" s="392"/>
      <c r="AG81" s="392"/>
      <c r="AH81" s="392"/>
      <c r="AI81" s="392"/>
      <c r="AJ81" s="392"/>
      <c r="AK81" s="392"/>
      <c r="AL81" s="392"/>
      <c r="AM81" s="392"/>
      <c r="AN81" s="392"/>
      <c r="AO81" s="392"/>
      <c r="AP81" s="392"/>
      <c r="AQ81" s="392"/>
      <c r="AR81" s="392"/>
      <c r="AS81" s="373"/>
      <c r="AT81" s="373"/>
      <c r="AU81" s="373"/>
      <c r="AV81" s="373"/>
      <c r="AW81" s="373"/>
      <c r="AX81" s="373"/>
      <c r="AY81" s="373"/>
      <c r="AZ81" s="373"/>
      <c r="BA81" s="373"/>
      <c r="BB81" s="373"/>
      <c r="BC81" s="373"/>
      <c r="BD81" s="373"/>
    </row>
    <row r="82" spans="1:56" s="390" customFormat="1" ht="12" customHeight="1" x14ac:dyDescent="0.15">
      <c r="A82" s="396"/>
      <c r="B82" s="396"/>
      <c r="C82" s="396" t="s">
        <v>3000</v>
      </c>
      <c r="D82" s="396" t="s">
        <v>2999</v>
      </c>
      <c r="E82" s="396"/>
      <c r="F82" s="382"/>
      <c r="G82" s="424"/>
      <c r="H82" s="423"/>
      <c r="I82" s="423"/>
      <c r="J82" s="423"/>
      <c r="K82" s="423"/>
      <c r="L82" s="422"/>
      <c r="M82" s="397"/>
      <c r="N82" s="422"/>
      <c r="O82" s="422"/>
      <c r="P82" s="393"/>
      <c r="Q82" s="393"/>
      <c r="R82" s="393"/>
      <c r="S82" s="392"/>
      <c r="T82" s="392"/>
      <c r="U82" s="392"/>
      <c r="V82" s="392"/>
      <c r="W82" s="392"/>
      <c r="X82" s="392"/>
      <c r="Y82" s="392"/>
      <c r="Z82" s="392"/>
      <c r="AA82" s="392"/>
      <c r="AB82" s="392"/>
      <c r="AC82" s="392"/>
      <c r="AD82" s="392"/>
      <c r="AE82" s="392"/>
      <c r="AF82" s="392"/>
      <c r="AG82" s="392"/>
      <c r="AH82" s="392"/>
      <c r="AI82" s="392"/>
      <c r="AJ82" s="392"/>
      <c r="AK82" s="392"/>
      <c r="AL82" s="392"/>
      <c r="AM82" s="392"/>
      <c r="AN82" s="392"/>
      <c r="AO82" s="392"/>
      <c r="AP82" s="392"/>
      <c r="AQ82" s="392"/>
      <c r="AR82" s="392"/>
      <c r="AS82" s="373"/>
      <c r="AT82" s="373"/>
      <c r="AU82" s="373"/>
      <c r="AV82" s="373"/>
      <c r="AW82" s="373"/>
      <c r="AX82" s="373"/>
      <c r="AY82" s="373"/>
      <c r="AZ82" s="373"/>
      <c r="BA82" s="373"/>
      <c r="BB82" s="373"/>
      <c r="BC82" s="373"/>
      <c r="BD82" s="373"/>
    </row>
    <row r="83" spans="1:56" s="390" customFormat="1" ht="12" customHeight="1" x14ac:dyDescent="0.15">
      <c r="A83" s="396"/>
      <c r="B83" s="396"/>
      <c r="C83" s="396" t="s">
        <v>2632</v>
      </c>
      <c r="D83" s="396" t="s">
        <v>2541</v>
      </c>
      <c r="E83" s="396"/>
      <c r="F83" s="382"/>
      <c r="G83" s="424"/>
      <c r="H83" s="423"/>
      <c r="I83" s="423"/>
      <c r="J83" s="423"/>
      <c r="K83" s="423"/>
      <c r="L83" s="422"/>
      <c r="M83" s="397"/>
      <c r="N83" s="422"/>
      <c r="O83" s="422"/>
      <c r="P83" s="393"/>
      <c r="Q83" s="393"/>
      <c r="R83" s="393"/>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73"/>
      <c r="AT83" s="373"/>
      <c r="AU83" s="373"/>
      <c r="AV83" s="373"/>
      <c r="AW83" s="373"/>
      <c r="AX83" s="373"/>
      <c r="AY83" s="373"/>
      <c r="AZ83" s="373"/>
      <c r="BA83" s="373"/>
      <c r="BB83" s="373"/>
      <c r="BC83" s="373"/>
      <c r="BD83" s="373"/>
    </row>
    <row r="84" spans="1:56" s="390" customFormat="1" ht="12" customHeight="1" x14ac:dyDescent="0.15">
      <c r="A84" s="396"/>
      <c r="B84" s="396"/>
      <c r="C84" s="396" t="s">
        <v>2996</v>
      </c>
      <c r="D84" s="396" t="s">
        <v>952</v>
      </c>
      <c r="E84" s="396"/>
      <c r="F84" s="382"/>
      <c r="G84" s="424"/>
      <c r="H84" s="423"/>
      <c r="I84" s="423"/>
      <c r="J84" s="423"/>
      <c r="K84" s="423"/>
      <c r="L84" s="422"/>
      <c r="M84" s="397"/>
      <c r="N84" s="422"/>
      <c r="O84" s="422"/>
      <c r="P84" s="393"/>
      <c r="Q84" s="393"/>
      <c r="R84" s="393"/>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2"/>
      <c r="AP84" s="392"/>
      <c r="AQ84" s="392"/>
      <c r="AR84" s="392"/>
      <c r="AS84" s="373"/>
      <c r="AT84" s="373"/>
      <c r="AU84" s="373"/>
      <c r="AV84" s="373"/>
      <c r="AW84" s="373"/>
      <c r="AX84" s="373"/>
      <c r="AY84" s="373"/>
      <c r="AZ84" s="373"/>
      <c r="BA84" s="373"/>
      <c r="BB84" s="373"/>
      <c r="BC84" s="373"/>
      <c r="BD84" s="373"/>
    </row>
    <row r="85" spans="1:56" s="390" customFormat="1" ht="12" customHeight="1" x14ac:dyDescent="0.15">
      <c r="A85" s="396"/>
      <c r="B85" s="396"/>
      <c r="C85" s="396" t="s">
        <v>2995</v>
      </c>
      <c r="D85" s="396" t="s">
        <v>2994</v>
      </c>
      <c r="E85" s="396"/>
      <c r="F85" s="382"/>
      <c r="G85" s="424"/>
      <c r="H85" s="423"/>
      <c r="I85" s="423"/>
      <c r="J85" s="423"/>
      <c r="K85" s="423"/>
      <c r="L85" s="422"/>
      <c r="M85" s="397"/>
      <c r="N85" s="422"/>
      <c r="O85" s="422"/>
      <c r="P85" s="393"/>
      <c r="Q85" s="393"/>
      <c r="R85" s="393"/>
      <c r="S85" s="392"/>
      <c r="T85" s="392"/>
      <c r="U85" s="392"/>
      <c r="V85" s="392"/>
      <c r="W85" s="392"/>
      <c r="X85" s="392"/>
      <c r="Y85" s="392"/>
      <c r="Z85" s="392"/>
      <c r="AA85" s="392"/>
      <c r="AB85" s="392"/>
      <c r="AC85" s="392"/>
      <c r="AD85" s="392"/>
      <c r="AE85" s="392"/>
      <c r="AF85" s="392"/>
      <c r="AG85" s="392"/>
      <c r="AH85" s="392"/>
      <c r="AI85" s="392"/>
      <c r="AJ85" s="392"/>
      <c r="AK85" s="392"/>
      <c r="AL85" s="392"/>
      <c r="AM85" s="392"/>
      <c r="AN85" s="392"/>
      <c r="AO85" s="392"/>
      <c r="AP85" s="392"/>
      <c r="AQ85" s="392"/>
      <c r="AR85" s="392"/>
      <c r="AS85" s="373"/>
      <c r="AT85" s="373"/>
      <c r="AU85" s="373"/>
      <c r="AV85" s="373"/>
      <c r="AW85" s="373"/>
      <c r="AX85" s="373"/>
      <c r="AY85" s="373"/>
      <c r="AZ85" s="373"/>
      <c r="BA85" s="373"/>
      <c r="BB85" s="373"/>
      <c r="BC85" s="373"/>
      <c r="BD85" s="373"/>
    </row>
    <row r="86" spans="1:56" s="390" customFormat="1" ht="12" customHeight="1" x14ac:dyDescent="0.15">
      <c r="A86" s="396"/>
      <c r="B86" s="396"/>
      <c r="C86" s="396" t="s">
        <v>2607</v>
      </c>
      <c r="D86" s="396" t="s">
        <v>2991</v>
      </c>
      <c r="E86" s="396"/>
      <c r="F86" s="382"/>
      <c r="G86" s="424"/>
      <c r="H86" s="423"/>
      <c r="I86" s="423"/>
      <c r="J86" s="423"/>
      <c r="K86" s="423"/>
      <c r="L86" s="422"/>
      <c r="M86" s="397"/>
      <c r="N86" s="422"/>
      <c r="O86" s="422"/>
      <c r="P86" s="393"/>
      <c r="Q86" s="393"/>
      <c r="R86" s="393"/>
      <c r="S86" s="392"/>
      <c r="T86" s="392"/>
      <c r="U86" s="392"/>
      <c r="V86" s="392"/>
      <c r="W86" s="392"/>
      <c r="X86" s="392"/>
      <c r="Y86" s="392"/>
      <c r="Z86" s="392"/>
      <c r="AA86" s="392"/>
      <c r="AB86" s="392"/>
      <c r="AC86" s="392"/>
      <c r="AD86" s="392"/>
      <c r="AE86" s="392"/>
      <c r="AF86" s="392"/>
      <c r="AG86" s="392"/>
      <c r="AH86" s="392"/>
      <c r="AI86" s="392"/>
      <c r="AJ86" s="392"/>
      <c r="AK86" s="392"/>
      <c r="AL86" s="392"/>
      <c r="AM86" s="392"/>
      <c r="AN86" s="392"/>
      <c r="AO86" s="392"/>
      <c r="AP86" s="392"/>
      <c r="AQ86" s="392"/>
      <c r="AR86" s="392"/>
      <c r="AS86" s="373"/>
      <c r="AT86" s="373"/>
      <c r="AU86" s="373"/>
      <c r="AV86" s="373"/>
      <c r="AW86" s="373"/>
      <c r="AX86" s="373"/>
      <c r="AY86" s="373"/>
      <c r="AZ86" s="373"/>
      <c r="BA86" s="373"/>
      <c r="BB86" s="373"/>
      <c r="BC86" s="373"/>
      <c r="BD86" s="373"/>
    </row>
    <row r="87" spans="1:56" s="390" customFormat="1" ht="12" customHeight="1" x14ac:dyDescent="0.15">
      <c r="A87" s="396"/>
      <c r="B87" s="396"/>
      <c r="C87" s="396" t="s">
        <v>2989</v>
      </c>
      <c r="D87" s="396" t="s">
        <v>2988</v>
      </c>
      <c r="E87" s="396"/>
      <c r="F87" s="382"/>
      <c r="G87" s="424"/>
      <c r="H87" s="423"/>
      <c r="I87" s="423"/>
      <c r="J87" s="423"/>
      <c r="K87" s="423"/>
      <c r="L87" s="422"/>
      <c r="M87" s="397"/>
      <c r="N87" s="422"/>
      <c r="O87" s="422"/>
      <c r="P87" s="393"/>
      <c r="Q87" s="393"/>
      <c r="R87" s="393"/>
      <c r="S87" s="392"/>
      <c r="T87" s="392"/>
      <c r="U87" s="392"/>
      <c r="V87" s="392"/>
      <c r="W87" s="392"/>
      <c r="X87" s="392"/>
      <c r="Y87" s="392"/>
      <c r="Z87" s="392"/>
      <c r="AA87" s="392"/>
      <c r="AB87" s="392"/>
      <c r="AC87" s="392"/>
      <c r="AD87" s="392"/>
      <c r="AE87" s="392"/>
      <c r="AF87" s="392"/>
      <c r="AG87" s="392"/>
      <c r="AH87" s="392"/>
      <c r="AI87" s="392"/>
      <c r="AJ87" s="392"/>
      <c r="AK87" s="392"/>
      <c r="AL87" s="392"/>
      <c r="AM87" s="392"/>
      <c r="AN87" s="392"/>
      <c r="AO87" s="392"/>
      <c r="AP87" s="392"/>
      <c r="AQ87" s="392"/>
      <c r="AR87" s="392"/>
      <c r="AS87" s="373"/>
      <c r="AT87" s="373"/>
      <c r="AU87" s="373"/>
      <c r="AV87" s="373"/>
      <c r="AW87" s="373"/>
      <c r="AX87" s="373"/>
      <c r="AY87" s="373"/>
      <c r="AZ87" s="373"/>
      <c r="BA87" s="373"/>
      <c r="BB87" s="373"/>
      <c r="BC87" s="373"/>
      <c r="BD87" s="373"/>
    </row>
    <row r="88" spans="1:56" s="390" customFormat="1" ht="12" customHeight="1" x14ac:dyDescent="0.15">
      <c r="A88" s="396"/>
      <c r="B88" s="396"/>
      <c r="C88" s="396" t="s">
        <v>2987</v>
      </c>
      <c r="D88" s="396" t="s">
        <v>2986</v>
      </c>
      <c r="E88" s="396"/>
      <c r="F88" s="382"/>
      <c r="G88" s="424"/>
      <c r="H88" s="423"/>
      <c r="I88" s="423"/>
      <c r="J88" s="423"/>
      <c r="K88" s="423"/>
      <c r="L88" s="422"/>
      <c r="M88" s="397"/>
      <c r="N88" s="422"/>
      <c r="O88" s="422"/>
      <c r="P88" s="393"/>
      <c r="Q88" s="393"/>
      <c r="R88" s="393"/>
      <c r="S88" s="392"/>
      <c r="T88" s="392"/>
      <c r="U88" s="392"/>
      <c r="V88" s="392"/>
      <c r="W88" s="392"/>
      <c r="X88" s="392"/>
      <c r="Y88" s="392"/>
      <c r="Z88" s="392"/>
      <c r="AA88" s="392"/>
      <c r="AB88" s="392"/>
      <c r="AC88" s="392"/>
      <c r="AD88" s="392"/>
      <c r="AE88" s="392"/>
      <c r="AF88" s="392"/>
      <c r="AG88" s="392"/>
      <c r="AH88" s="392"/>
      <c r="AI88" s="392"/>
      <c r="AJ88" s="392"/>
      <c r="AK88" s="392"/>
      <c r="AL88" s="392"/>
      <c r="AM88" s="392"/>
      <c r="AN88" s="392"/>
      <c r="AO88" s="392"/>
      <c r="AP88" s="392"/>
      <c r="AQ88" s="392"/>
      <c r="AR88" s="392"/>
      <c r="AS88" s="373"/>
      <c r="AT88" s="373"/>
      <c r="AU88" s="373"/>
      <c r="AV88" s="373"/>
      <c r="AW88" s="373"/>
      <c r="AX88" s="373"/>
      <c r="AY88" s="373"/>
      <c r="AZ88" s="373"/>
      <c r="BA88" s="373"/>
      <c r="BB88" s="373"/>
      <c r="BC88" s="373"/>
      <c r="BD88" s="373"/>
    </row>
    <row r="89" spans="1:56" s="390" customFormat="1" ht="12" customHeight="1" x14ac:dyDescent="0.15">
      <c r="A89" s="396"/>
      <c r="B89" s="396"/>
      <c r="C89" s="396" t="s">
        <v>2985</v>
      </c>
      <c r="D89" s="396" t="s">
        <v>2724</v>
      </c>
      <c r="E89" s="396"/>
      <c r="F89" s="382"/>
      <c r="G89" s="424"/>
      <c r="H89" s="423"/>
      <c r="I89" s="423"/>
      <c r="J89" s="423"/>
      <c r="K89" s="423"/>
      <c r="L89" s="422"/>
      <c r="M89" s="397"/>
      <c r="N89" s="422"/>
      <c r="O89" s="422"/>
      <c r="P89" s="393"/>
      <c r="Q89" s="393"/>
      <c r="R89" s="393"/>
      <c r="S89" s="392"/>
      <c r="T89" s="392"/>
      <c r="U89" s="392"/>
      <c r="V89" s="392"/>
      <c r="W89" s="392"/>
      <c r="X89" s="392"/>
      <c r="Y89" s="392"/>
      <c r="Z89" s="392"/>
      <c r="AA89" s="392"/>
      <c r="AB89" s="392"/>
      <c r="AC89" s="392"/>
      <c r="AD89" s="392"/>
      <c r="AE89" s="392"/>
      <c r="AF89" s="392"/>
      <c r="AG89" s="392"/>
      <c r="AH89" s="392"/>
      <c r="AI89" s="392"/>
      <c r="AJ89" s="392"/>
      <c r="AK89" s="392"/>
      <c r="AL89" s="392"/>
      <c r="AM89" s="392"/>
      <c r="AN89" s="392"/>
      <c r="AO89" s="392"/>
      <c r="AP89" s="392"/>
      <c r="AQ89" s="392"/>
      <c r="AR89" s="392"/>
      <c r="AS89" s="373"/>
      <c r="AT89" s="373"/>
      <c r="AU89" s="373"/>
      <c r="AV89" s="373"/>
      <c r="AW89" s="373"/>
      <c r="AX89" s="373"/>
      <c r="AY89" s="373"/>
      <c r="AZ89" s="373"/>
      <c r="BA89" s="373"/>
      <c r="BB89" s="373"/>
      <c r="BC89" s="373"/>
      <c r="BD89" s="373"/>
    </row>
    <row r="90" spans="1:56" s="390" customFormat="1" ht="12" customHeight="1" x14ac:dyDescent="0.15">
      <c r="A90" s="396"/>
      <c r="B90" s="396"/>
      <c r="C90" s="396" t="s">
        <v>2983</v>
      </c>
      <c r="D90" s="396" t="s">
        <v>2982</v>
      </c>
      <c r="E90" s="396"/>
      <c r="F90" s="382"/>
      <c r="G90" s="424"/>
      <c r="H90" s="423"/>
      <c r="I90" s="423"/>
      <c r="J90" s="423"/>
      <c r="K90" s="423"/>
      <c r="L90" s="422"/>
      <c r="M90" s="397"/>
      <c r="N90" s="422"/>
      <c r="O90" s="422"/>
      <c r="P90" s="393"/>
      <c r="Q90" s="393"/>
      <c r="R90" s="393"/>
      <c r="S90" s="392"/>
      <c r="T90" s="392"/>
      <c r="U90" s="392"/>
      <c r="V90" s="392"/>
      <c r="W90" s="392"/>
      <c r="X90" s="392"/>
      <c r="Y90" s="392"/>
      <c r="Z90" s="392"/>
      <c r="AA90" s="392"/>
      <c r="AB90" s="392"/>
      <c r="AC90" s="392"/>
      <c r="AD90" s="392"/>
      <c r="AE90" s="392"/>
      <c r="AF90" s="392"/>
      <c r="AG90" s="392"/>
      <c r="AH90" s="392"/>
      <c r="AI90" s="392"/>
      <c r="AJ90" s="392"/>
      <c r="AK90" s="392"/>
      <c r="AL90" s="392"/>
      <c r="AM90" s="392"/>
      <c r="AN90" s="392"/>
      <c r="AO90" s="392"/>
      <c r="AP90" s="392"/>
      <c r="AQ90" s="392"/>
      <c r="AR90" s="392"/>
      <c r="AS90" s="373"/>
      <c r="AT90" s="373"/>
      <c r="AU90" s="373"/>
      <c r="AV90" s="373"/>
      <c r="AW90" s="373"/>
      <c r="AX90" s="373"/>
      <c r="AY90" s="373"/>
      <c r="AZ90" s="373"/>
      <c r="BA90" s="373"/>
      <c r="BB90" s="373"/>
      <c r="BC90" s="373"/>
      <c r="BD90" s="373"/>
    </row>
    <row r="91" spans="1:56" s="390" customFormat="1" ht="12" customHeight="1" x14ac:dyDescent="0.15">
      <c r="A91" s="396"/>
      <c r="B91" s="396"/>
      <c r="C91" s="396" t="s">
        <v>2979</v>
      </c>
      <c r="D91" s="396" t="s">
        <v>1054</v>
      </c>
      <c r="E91" s="396"/>
      <c r="F91" s="382"/>
      <c r="G91" s="424"/>
      <c r="H91" s="423"/>
      <c r="I91" s="423"/>
      <c r="J91" s="423"/>
      <c r="K91" s="423"/>
      <c r="L91" s="422"/>
      <c r="M91" s="397"/>
      <c r="N91" s="422"/>
      <c r="O91" s="422"/>
      <c r="P91" s="393"/>
      <c r="Q91" s="393"/>
      <c r="R91" s="393"/>
      <c r="S91" s="392"/>
      <c r="T91" s="392"/>
      <c r="U91" s="392"/>
      <c r="V91" s="392"/>
      <c r="W91" s="392"/>
      <c r="X91" s="392"/>
      <c r="Y91" s="392"/>
      <c r="Z91" s="392"/>
      <c r="AA91" s="392"/>
      <c r="AB91" s="392"/>
      <c r="AC91" s="392"/>
      <c r="AD91" s="392"/>
      <c r="AE91" s="392"/>
      <c r="AF91" s="392"/>
      <c r="AG91" s="392"/>
      <c r="AH91" s="392"/>
      <c r="AI91" s="392"/>
      <c r="AJ91" s="392"/>
      <c r="AK91" s="392"/>
      <c r="AL91" s="392"/>
      <c r="AM91" s="392"/>
      <c r="AN91" s="392"/>
      <c r="AO91" s="392"/>
      <c r="AP91" s="392"/>
      <c r="AQ91" s="392"/>
      <c r="AR91" s="392"/>
      <c r="AS91" s="373"/>
      <c r="AT91" s="373"/>
      <c r="AU91" s="373"/>
      <c r="AV91" s="373"/>
      <c r="AW91" s="373"/>
      <c r="AX91" s="373"/>
      <c r="AY91" s="373"/>
      <c r="AZ91" s="373"/>
      <c r="BA91" s="373"/>
      <c r="BB91" s="373"/>
      <c r="BC91" s="373"/>
      <c r="BD91" s="373"/>
    </row>
    <row r="92" spans="1:56" s="390" customFormat="1" ht="12" customHeight="1" x14ac:dyDescent="0.15">
      <c r="A92" s="396"/>
      <c r="B92" s="396"/>
      <c r="C92" s="396" t="s">
        <v>2976</v>
      </c>
      <c r="D92" s="396" t="s">
        <v>2975</v>
      </c>
      <c r="E92" s="396"/>
      <c r="F92" s="382"/>
      <c r="G92" s="424"/>
      <c r="H92" s="423"/>
      <c r="I92" s="423"/>
      <c r="J92" s="423"/>
      <c r="K92" s="423"/>
      <c r="L92" s="422"/>
      <c r="M92" s="397"/>
      <c r="N92" s="422"/>
      <c r="O92" s="422"/>
      <c r="P92" s="393"/>
      <c r="Q92" s="393"/>
      <c r="R92" s="393"/>
      <c r="S92" s="392"/>
      <c r="T92" s="392"/>
      <c r="U92" s="392"/>
      <c r="V92" s="392"/>
      <c r="W92" s="392"/>
      <c r="X92" s="392"/>
      <c r="Y92" s="392"/>
      <c r="Z92" s="392"/>
      <c r="AA92" s="392"/>
      <c r="AB92" s="392"/>
      <c r="AC92" s="392"/>
      <c r="AD92" s="392"/>
      <c r="AE92" s="392"/>
      <c r="AF92" s="392"/>
      <c r="AG92" s="392"/>
      <c r="AH92" s="392"/>
      <c r="AI92" s="392"/>
      <c r="AJ92" s="392"/>
      <c r="AK92" s="392"/>
      <c r="AL92" s="392"/>
      <c r="AM92" s="392"/>
      <c r="AN92" s="392"/>
      <c r="AO92" s="392"/>
      <c r="AP92" s="392"/>
      <c r="AQ92" s="392"/>
      <c r="AR92" s="392"/>
      <c r="AS92" s="373"/>
      <c r="AT92" s="373"/>
      <c r="AU92" s="373"/>
      <c r="AV92" s="373"/>
      <c r="AW92" s="373"/>
      <c r="AX92" s="373"/>
      <c r="AY92" s="373"/>
      <c r="AZ92" s="373"/>
      <c r="BA92" s="373"/>
      <c r="BB92" s="373"/>
      <c r="BC92" s="373"/>
      <c r="BD92" s="373"/>
    </row>
    <row r="93" spans="1:56" s="390" customFormat="1" ht="12" customHeight="1" x14ac:dyDescent="0.15">
      <c r="A93" s="396"/>
      <c r="B93" s="396"/>
      <c r="C93" s="396" t="s">
        <v>2971</v>
      </c>
      <c r="D93" s="396" t="s">
        <v>2970</v>
      </c>
      <c r="E93" s="396"/>
      <c r="F93" s="382"/>
      <c r="G93" s="424"/>
      <c r="H93" s="423"/>
      <c r="I93" s="423"/>
      <c r="J93" s="423"/>
      <c r="K93" s="423"/>
      <c r="L93" s="422"/>
      <c r="M93" s="397"/>
      <c r="N93" s="422"/>
      <c r="O93" s="422"/>
      <c r="P93" s="393"/>
      <c r="Q93" s="393"/>
      <c r="R93" s="393"/>
      <c r="S93" s="392"/>
      <c r="T93" s="392"/>
      <c r="U93" s="392"/>
      <c r="V93" s="392"/>
      <c r="W93" s="392"/>
      <c r="X93" s="392"/>
      <c r="Y93" s="392"/>
      <c r="Z93" s="392"/>
      <c r="AA93" s="392"/>
      <c r="AB93" s="392"/>
      <c r="AC93" s="392"/>
      <c r="AD93" s="392"/>
      <c r="AE93" s="392"/>
      <c r="AF93" s="392"/>
      <c r="AG93" s="392"/>
      <c r="AH93" s="392"/>
      <c r="AI93" s="392"/>
      <c r="AJ93" s="392"/>
      <c r="AK93" s="392"/>
      <c r="AL93" s="392"/>
      <c r="AM93" s="392"/>
      <c r="AN93" s="392"/>
      <c r="AO93" s="392"/>
      <c r="AP93" s="392"/>
      <c r="AQ93" s="392"/>
      <c r="AR93" s="392"/>
      <c r="AS93" s="373"/>
      <c r="AT93" s="373"/>
      <c r="AU93" s="373"/>
      <c r="AV93" s="373"/>
      <c r="AW93" s="373"/>
      <c r="AX93" s="373"/>
      <c r="AY93" s="373"/>
      <c r="AZ93" s="373"/>
      <c r="BA93" s="373"/>
      <c r="BB93" s="373"/>
      <c r="BC93" s="373"/>
      <c r="BD93" s="373"/>
    </row>
    <row r="94" spans="1:56" s="390" customFormat="1" ht="12" customHeight="1" x14ac:dyDescent="0.15">
      <c r="A94" s="396"/>
      <c r="B94" s="396"/>
      <c r="C94" s="396" t="s">
        <v>2678</v>
      </c>
      <c r="D94" s="396" t="s">
        <v>2677</v>
      </c>
      <c r="E94" s="396"/>
      <c r="F94" s="382"/>
      <c r="G94" s="424"/>
      <c r="H94" s="423"/>
      <c r="I94" s="423"/>
      <c r="J94" s="423"/>
      <c r="K94" s="423"/>
      <c r="L94" s="422"/>
      <c r="M94" s="397"/>
      <c r="N94" s="422"/>
      <c r="O94" s="422"/>
      <c r="P94" s="393"/>
      <c r="Q94" s="393"/>
      <c r="R94" s="393"/>
      <c r="S94" s="392"/>
      <c r="T94" s="392"/>
      <c r="U94" s="392"/>
      <c r="V94" s="392"/>
      <c r="W94" s="392"/>
      <c r="X94" s="392"/>
      <c r="Y94" s="392"/>
      <c r="Z94" s="392"/>
      <c r="AA94" s="392"/>
      <c r="AB94" s="392"/>
      <c r="AC94" s="392"/>
      <c r="AD94" s="392"/>
      <c r="AE94" s="392"/>
      <c r="AF94" s="392"/>
      <c r="AG94" s="392"/>
      <c r="AH94" s="392"/>
      <c r="AI94" s="392"/>
      <c r="AJ94" s="392"/>
      <c r="AK94" s="392"/>
      <c r="AL94" s="392"/>
      <c r="AM94" s="392"/>
      <c r="AN94" s="392"/>
      <c r="AO94" s="392"/>
      <c r="AP94" s="392"/>
      <c r="AQ94" s="392"/>
      <c r="AR94" s="392"/>
      <c r="AS94" s="373"/>
      <c r="AT94" s="373"/>
      <c r="AU94" s="373"/>
      <c r="AV94" s="373"/>
      <c r="AW94" s="373"/>
      <c r="AX94" s="373"/>
      <c r="AY94" s="373"/>
      <c r="AZ94" s="373"/>
      <c r="BA94" s="373"/>
      <c r="BB94" s="373"/>
      <c r="BC94" s="373"/>
      <c r="BD94" s="373"/>
    </row>
    <row r="95" spans="1:56" s="390" customFormat="1" ht="12" customHeight="1" x14ac:dyDescent="0.15">
      <c r="A95" s="396"/>
      <c r="B95" s="396"/>
      <c r="C95" s="396" t="s">
        <v>2968</v>
      </c>
      <c r="D95" s="396" t="s">
        <v>2967</v>
      </c>
      <c r="E95" s="396"/>
      <c r="F95" s="382"/>
      <c r="G95" s="424"/>
      <c r="H95" s="423"/>
      <c r="I95" s="423"/>
      <c r="J95" s="423"/>
      <c r="K95" s="423"/>
      <c r="L95" s="422"/>
      <c r="M95" s="397"/>
      <c r="N95" s="422"/>
      <c r="O95" s="422"/>
      <c r="P95" s="393"/>
      <c r="Q95" s="393"/>
      <c r="R95" s="393"/>
      <c r="S95" s="392"/>
      <c r="T95" s="392"/>
      <c r="U95" s="392"/>
      <c r="V95" s="392"/>
      <c r="W95" s="392"/>
      <c r="X95" s="392"/>
      <c r="Y95" s="392"/>
      <c r="Z95" s="392"/>
      <c r="AA95" s="392"/>
      <c r="AB95" s="392"/>
      <c r="AC95" s="392"/>
      <c r="AD95" s="392"/>
      <c r="AE95" s="392"/>
      <c r="AF95" s="392"/>
      <c r="AG95" s="392"/>
      <c r="AH95" s="392"/>
      <c r="AI95" s="392"/>
      <c r="AJ95" s="392"/>
      <c r="AK95" s="392"/>
      <c r="AL95" s="392"/>
      <c r="AM95" s="392"/>
      <c r="AN95" s="392"/>
      <c r="AO95" s="392"/>
      <c r="AP95" s="392"/>
      <c r="AQ95" s="392"/>
      <c r="AR95" s="392"/>
      <c r="AS95" s="373"/>
      <c r="AT95" s="373"/>
      <c r="AU95" s="373"/>
      <c r="AV95" s="373"/>
      <c r="AW95" s="373"/>
      <c r="AX95" s="373"/>
      <c r="AY95" s="373"/>
      <c r="AZ95" s="373"/>
      <c r="BA95" s="373"/>
      <c r="BB95" s="373"/>
      <c r="BC95" s="373"/>
      <c r="BD95" s="373"/>
    </row>
    <row r="96" spans="1:56" s="390" customFormat="1" ht="12" customHeight="1" x14ac:dyDescent="0.15">
      <c r="A96" s="396"/>
      <c r="B96" s="396"/>
      <c r="C96" s="396" t="s">
        <v>2958</v>
      </c>
      <c r="D96" s="396" t="s">
        <v>2957</v>
      </c>
      <c r="E96" s="396"/>
      <c r="F96" s="382"/>
      <c r="G96" s="424"/>
      <c r="H96" s="423"/>
      <c r="I96" s="423"/>
      <c r="J96" s="423"/>
      <c r="K96" s="423"/>
      <c r="L96" s="422"/>
      <c r="M96" s="397"/>
      <c r="N96" s="422"/>
      <c r="O96" s="422"/>
      <c r="P96" s="393"/>
      <c r="Q96" s="393"/>
      <c r="R96" s="393"/>
      <c r="S96" s="392"/>
      <c r="T96" s="392"/>
      <c r="U96" s="392"/>
      <c r="V96" s="392"/>
      <c r="W96" s="392"/>
      <c r="X96" s="392"/>
      <c r="Y96" s="392"/>
      <c r="Z96" s="392"/>
      <c r="AA96" s="392"/>
      <c r="AB96" s="392"/>
      <c r="AC96" s="392"/>
      <c r="AD96" s="392"/>
      <c r="AE96" s="392"/>
      <c r="AF96" s="392"/>
      <c r="AG96" s="392"/>
      <c r="AH96" s="392"/>
      <c r="AI96" s="392"/>
      <c r="AJ96" s="392"/>
      <c r="AK96" s="392"/>
      <c r="AL96" s="392"/>
      <c r="AM96" s="392"/>
      <c r="AN96" s="392"/>
      <c r="AO96" s="392"/>
      <c r="AP96" s="392"/>
      <c r="AQ96" s="392"/>
      <c r="AR96" s="392"/>
      <c r="AS96" s="373"/>
      <c r="AT96" s="373"/>
      <c r="AU96" s="373"/>
      <c r="AV96" s="373"/>
      <c r="AW96" s="373"/>
      <c r="AX96" s="373"/>
      <c r="AY96" s="373"/>
      <c r="AZ96" s="373"/>
      <c r="BA96" s="373"/>
      <c r="BB96" s="373"/>
      <c r="BC96" s="373"/>
      <c r="BD96" s="373"/>
    </row>
    <row r="97" spans="1:56" s="390" customFormat="1" ht="12" customHeight="1" x14ac:dyDescent="0.15">
      <c r="A97" s="396"/>
      <c r="B97" s="396"/>
      <c r="C97" s="396" t="s">
        <v>2557</v>
      </c>
      <c r="D97" s="396" t="s">
        <v>2556</v>
      </c>
      <c r="E97" s="396"/>
      <c r="F97" s="382"/>
      <c r="G97" s="424"/>
      <c r="H97" s="423"/>
      <c r="I97" s="423"/>
      <c r="J97" s="423"/>
      <c r="K97" s="423"/>
      <c r="L97" s="422"/>
      <c r="M97" s="397"/>
      <c r="N97" s="422"/>
      <c r="O97" s="422"/>
      <c r="P97" s="393"/>
      <c r="Q97" s="393"/>
      <c r="R97" s="393"/>
      <c r="S97" s="392"/>
      <c r="T97" s="392"/>
      <c r="U97" s="392"/>
      <c r="V97" s="392"/>
      <c r="W97" s="392"/>
      <c r="X97" s="392"/>
      <c r="Y97" s="392"/>
      <c r="Z97" s="392"/>
      <c r="AA97" s="392"/>
      <c r="AB97" s="392"/>
      <c r="AC97" s="392"/>
      <c r="AD97" s="392"/>
      <c r="AE97" s="392"/>
      <c r="AF97" s="392"/>
      <c r="AG97" s="392"/>
      <c r="AH97" s="392"/>
      <c r="AI97" s="392"/>
      <c r="AJ97" s="392"/>
      <c r="AK97" s="392"/>
      <c r="AL97" s="392"/>
      <c r="AM97" s="392"/>
      <c r="AN97" s="392"/>
      <c r="AO97" s="392"/>
      <c r="AP97" s="392"/>
      <c r="AQ97" s="392"/>
      <c r="AR97" s="392"/>
      <c r="AS97" s="373"/>
      <c r="AT97" s="373"/>
      <c r="AU97" s="373"/>
      <c r="AV97" s="373"/>
      <c r="AW97" s="373"/>
      <c r="AX97" s="373"/>
      <c r="AY97" s="373"/>
      <c r="AZ97" s="373"/>
      <c r="BA97" s="373"/>
      <c r="BB97" s="373"/>
      <c r="BC97" s="373"/>
      <c r="BD97" s="373"/>
    </row>
    <row r="98" spans="1:56" s="390" customFormat="1" ht="12" customHeight="1" x14ac:dyDescent="0.15">
      <c r="A98" s="396"/>
      <c r="B98" s="396"/>
      <c r="C98" s="396" t="s">
        <v>2921</v>
      </c>
      <c r="D98" s="396" t="s">
        <v>1139</v>
      </c>
      <c r="E98" s="396"/>
      <c r="F98" s="382"/>
      <c r="G98" s="424"/>
      <c r="H98" s="423"/>
      <c r="I98" s="423"/>
      <c r="J98" s="423"/>
      <c r="K98" s="423"/>
      <c r="L98" s="422"/>
      <c r="M98" s="397"/>
      <c r="N98" s="422"/>
      <c r="O98" s="422"/>
      <c r="P98" s="393"/>
      <c r="Q98" s="393"/>
      <c r="R98" s="393"/>
      <c r="S98" s="392"/>
      <c r="T98" s="392"/>
      <c r="U98" s="392"/>
      <c r="V98" s="392"/>
      <c r="W98" s="392"/>
      <c r="X98" s="392"/>
      <c r="Y98" s="392"/>
      <c r="Z98" s="392"/>
      <c r="AA98" s="392"/>
      <c r="AB98" s="392"/>
      <c r="AC98" s="392"/>
      <c r="AD98" s="392"/>
      <c r="AE98" s="392"/>
      <c r="AF98" s="392"/>
      <c r="AG98" s="392"/>
      <c r="AH98" s="392"/>
      <c r="AI98" s="392"/>
      <c r="AJ98" s="392"/>
      <c r="AK98" s="392"/>
      <c r="AL98" s="392"/>
      <c r="AM98" s="392"/>
      <c r="AN98" s="392"/>
      <c r="AO98" s="392"/>
      <c r="AP98" s="392"/>
      <c r="AQ98" s="392"/>
      <c r="AR98" s="392"/>
      <c r="AS98" s="373"/>
      <c r="AT98" s="373"/>
      <c r="AU98" s="373"/>
      <c r="AV98" s="373"/>
      <c r="AW98" s="373"/>
      <c r="AX98" s="373"/>
      <c r="AY98" s="373"/>
      <c r="AZ98" s="373"/>
      <c r="BA98" s="373"/>
      <c r="BB98" s="373"/>
      <c r="BC98" s="373"/>
      <c r="BD98" s="373"/>
    </row>
    <row r="99" spans="1:56" s="390" customFormat="1" ht="12" customHeight="1" x14ac:dyDescent="0.15">
      <c r="A99" s="396"/>
      <c r="B99" s="396"/>
      <c r="C99" s="396" t="s">
        <v>2950</v>
      </c>
      <c r="D99" s="396" t="s">
        <v>2863</v>
      </c>
      <c r="E99" s="396"/>
      <c r="F99" s="382"/>
      <c r="G99" s="424"/>
      <c r="H99" s="423"/>
      <c r="I99" s="423"/>
      <c r="J99" s="423"/>
      <c r="K99" s="423"/>
      <c r="L99" s="422"/>
      <c r="M99" s="397"/>
      <c r="N99" s="422"/>
      <c r="O99" s="422"/>
      <c r="P99" s="393"/>
      <c r="Q99" s="393"/>
      <c r="R99" s="393"/>
      <c r="S99" s="392"/>
      <c r="T99" s="392"/>
      <c r="U99" s="392"/>
      <c r="V99" s="392"/>
      <c r="W99" s="392"/>
      <c r="X99" s="392"/>
      <c r="Y99" s="392"/>
      <c r="Z99" s="392"/>
      <c r="AA99" s="392"/>
      <c r="AB99" s="392"/>
      <c r="AC99" s="392"/>
      <c r="AD99" s="392"/>
      <c r="AE99" s="392"/>
      <c r="AF99" s="392"/>
      <c r="AG99" s="392"/>
      <c r="AH99" s="392"/>
      <c r="AI99" s="392"/>
      <c r="AJ99" s="392"/>
      <c r="AK99" s="392"/>
      <c r="AL99" s="392"/>
      <c r="AM99" s="392"/>
      <c r="AN99" s="392"/>
      <c r="AO99" s="392"/>
      <c r="AP99" s="392"/>
      <c r="AQ99" s="392"/>
      <c r="AR99" s="392"/>
      <c r="AS99" s="373"/>
      <c r="AT99" s="373"/>
      <c r="AU99" s="373"/>
      <c r="AV99" s="373"/>
      <c r="AW99" s="373"/>
      <c r="AX99" s="373"/>
      <c r="AY99" s="373"/>
      <c r="AZ99" s="373"/>
      <c r="BA99" s="373"/>
      <c r="BB99" s="373"/>
      <c r="BC99" s="373"/>
      <c r="BD99" s="373"/>
    </row>
    <row r="100" spans="1:56" s="390" customFormat="1" ht="12" customHeight="1" x14ac:dyDescent="0.15">
      <c r="A100" s="396"/>
      <c r="B100" s="396"/>
      <c r="C100" s="396" t="s">
        <v>2561</v>
      </c>
      <c r="D100" s="396" t="s">
        <v>2560</v>
      </c>
      <c r="E100" s="396"/>
      <c r="F100" s="382"/>
      <c r="G100" s="424"/>
      <c r="H100" s="423"/>
      <c r="I100" s="423"/>
      <c r="J100" s="423"/>
      <c r="K100" s="423"/>
      <c r="L100" s="422"/>
      <c r="M100" s="397"/>
      <c r="N100" s="422"/>
      <c r="O100" s="422"/>
      <c r="P100" s="393"/>
      <c r="Q100" s="393"/>
      <c r="R100" s="393"/>
      <c r="S100" s="392"/>
      <c r="T100" s="392"/>
      <c r="U100" s="392"/>
      <c r="V100" s="392"/>
      <c r="W100" s="392"/>
      <c r="X100" s="392"/>
      <c r="Y100" s="392"/>
      <c r="Z100" s="392"/>
      <c r="AA100" s="392"/>
      <c r="AB100" s="392"/>
      <c r="AC100" s="392"/>
      <c r="AD100" s="392"/>
      <c r="AE100" s="392"/>
      <c r="AF100" s="392"/>
      <c r="AG100" s="392"/>
      <c r="AH100" s="392"/>
      <c r="AI100" s="392"/>
      <c r="AJ100" s="392"/>
      <c r="AK100" s="392"/>
      <c r="AL100" s="392"/>
      <c r="AM100" s="392"/>
      <c r="AN100" s="392"/>
      <c r="AO100" s="392"/>
      <c r="AP100" s="392"/>
      <c r="AQ100" s="392"/>
      <c r="AR100" s="392"/>
      <c r="AS100" s="373"/>
      <c r="AT100" s="373"/>
      <c r="AU100" s="373"/>
      <c r="AV100" s="373"/>
      <c r="AW100" s="373"/>
      <c r="AX100" s="373"/>
      <c r="AY100" s="373"/>
      <c r="AZ100" s="373"/>
      <c r="BA100" s="373"/>
      <c r="BB100" s="373"/>
      <c r="BC100" s="373"/>
      <c r="BD100" s="373"/>
    </row>
    <row r="101" spans="1:56" s="390" customFormat="1" ht="12" customHeight="1" x14ac:dyDescent="0.15">
      <c r="A101" s="396"/>
      <c r="B101" s="396"/>
      <c r="C101" s="396" t="s">
        <v>2946</v>
      </c>
      <c r="D101" s="396" t="s">
        <v>2945</v>
      </c>
      <c r="E101" s="396"/>
      <c r="F101" s="382"/>
      <c r="G101" s="424"/>
      <c r="H101" s="423"/>
      <c r="I101" s="423"/>
      <c r="J101" s="423"/>
      <c r="K101" s="423"/>
      <c r="L101" s="422"/>
      <c r="M101" s="397"/>
      <c r="N101" s="422"/>
      <c r="O101" s="422"/>
      <c r="P101" s="393"/>
      <c r="Q101" s="393"/>
      <c r="R101" s="393"/>
      <c r="S101" s="392"/>
      <c r="T101" s="392"/>
      <c r="U101" s="392"/>
      <c r="V101" s="392"/>
      <c r="W101" s="392"/>
      <c r="X101" s="392"/>
      <c r="Y101" s="392"/>
      <c r="Z101" s="392"/>
      <c r="AA101" s="392"/>
      <c r="AB101" s="392"/>
      <c r="AC101" s="392"/>
      <c r="AD101" s="392"/>
      <c r="AE101" s="392"/>
      <c r="AF101" s="392"/>
      <c r="AG101" s="392"/>
      <c r="AH101" s="392"/>
      <c r="AI101" s="392"/>
      <c r="AJ101" s="392"/>
      <c r="AK101" s="392"/>
      <c r="AL101" s="392"/>
      <c r="AM101" s="392"/>
      <c r="AN101" s="392"/>
      <c r="AO101" s="392"/>
      <c r="AP101" s="392"/>
      <c r="AQ101" s="392"/>
      <c r="AR101" s="392"/>
      <c r="AS101" s="373"/>
      <c r="AT101" s="373"/>
      <c r="AU101" s="373"/>
      <c r="AV101" s="373"/>
      <c r="AW101" s="373"/>
      <c r="AX101" s="373"/>
      <c r="AY101" s="373"/>
      <c r="AZ101" s="373"/>
      <c r="BA101" s="373"/>
      <c r="BB101" s="373"/>
      <c r="BC101" s="373"/>
      <c r="BD101" s="373"/>
    </row>
    <row r="102" spans="1:56" s="390" customFormat="1" ht="12" customHeight="1" x14ac:dyDescent="0.15">
      <c r="A102" s="396"/>
      <c r="B102" s="396"/>
      <c r="C102" s="396" t="s">
        <v>2944</v>
      </c>
      <c r="D102" s="396" t="s">
        <v>2863</v>
      </c>
      <c r="E102" s="396"/>
      <c r="F102" s="382"/>
      <c r="G102" s="424"/>
      <c r="H102" s="423"/>
      <c r="I102" s="423"/>
      <c r="J102" s="423"/>
      <c r="K102" s="423"/>
      <c r="L102" s="422"/>
      <c r="M102" s="397"/>
      <c r="N102" s="422"/>
      <c r="O102" s="422"/>
      <c r="P102" s="393"/>
      <c r="Q102" s="393"/>
      <c r="R102" s="393"/>
      <c r="S102" s="392"/>
      <c r="T102" s="392"/>
      <c r="U102" s="392"/>
      <c r="V102" s="392"/>
      <c r="W102" s="392"/>
      <c r="X102" s="392"/>
      <c r="Y102" s="392"/>
      <c r="Z102" s="392"/>
      <c r="AA102" s="392"/>
      <c r="AB102" s="392"/>
      <c r="AC102" s="392"/>
      <c r="AD102" s="392"/>
      <c r="AE102" s="392"/>
      <c r="AF102" s="392"/>
      <c r="AG102" s="392"/>
      <c r="AH102" s="392"/>
      <c r="AI102" s="392"/>
      <c r="AJ102" s="392"/>
      <c r="AK102" s="392"/>
      <c r="AL102" s="392"/>
      <c r="AM102" s="392"/>
      <c r="AN102" s="392"/>
      <c r="AO102" s="392"/>
      <c r="AP102" s="392"/>
      <c r="AQ102" s="392"/>
      <c r="AR102" s="392"/>
      <c r="AS102" s="373"/>
      <c r="AT102" s="373"/>
      <c r="AU102" s="373"/>
      <c r="AV102" s="373"/>
      <c r="AW102" s="373"/>
      <c r="AX102" s="373"/>
      <c r="AY102" s="373"/>
      <c r="AZ102" s="373"/>
      <c r="BA102" s="373"/>
      <c r="BB102" s="373"/>
      <c r="BC102" s="373"/>
      <c r="BD102" s="373"/>
    </row>
    <row r="103" spans="1:56" s="390" customFormat="1" ht="12" customHeight="1" x14ac:dyDescent="0.15">
      <c r="A103" s="396"/>
      <c r="B103" s="396"/>
      <c r="C103" s="396" t="s">
        <v>2861</v>
      </c>
      <c r="D103" s="396" t="s">
        <v>2860</v>
      </c>
      <c r="E103" s="396"/>
      <c r="F103" s="382"/>
      <c r="G103" s="424"/>
      <c r="H103" s="423"/>
      <c r="I103" s="423"/>
      <c r="J103" s="423"/>
      <c r="K103" s="423"/>
      <c r="L103" s="422"/>
      <c r="M103" s="397"/>
      <c r="N103" s="422"/>
      <c r="O103" s="422"/>
      <c r="P103" s="393"/>
      <c r="Q103" s="393"/>
      <c r="R103" s="393"/>
      <c r="S103" s="392"/>
      <c r="T103" s="392"/>
      <c r="U103" s="392"/>
      <c r="V103" s="392"/>
      <c r="W103" s="392"/>
      <c r="X103" s="392"/>
      <c r="Y103" s="392"/>
      <c r="Z103" s="392"/>
      <c r="AA103" s="392"/>
      <c r="AB103" s="392"/>
      <c r="AC103" s="392"/>
      <c r="AD103" s="392"/>
      <c r="AE103" s="392"/>
      <c r="AF103" s="392"/>
      <c r="AG103" s="392"/>
      <c r="AH103" s="392"/>
      <c r="AI103" s="392"/>
      <c r="AJ103" s="392"/>
      <c r="AK103" s="392"/>
      <c r="AL103" s="392"/>
      <c r="AM103" s="392"/>
      <c r="AN103" s="392"/>
      <c r="AO103" s="392"/>
      <c r="AP103" s="392"/>
      <c r="AQ103" s="392"/>
      <c r="AR103" s="392"/>
      <c r="AS103" s="373"/>
      <c r="AT103" s="373"/>
      <c r="AU103" s="373"/>
      <c r="AV103" s="373"/>
      <c r="AW103" s="373"/>
      <c r="AX103" s="373"/>
      <c r="AY103" s="373"/>
      <c r="AZ103" s="373"/>
      <c r="BA103" s="373"/>
      <c r="BB103" s="373"/>
      <c r="BC103" s="373"/>
      <c r="BD103" s="373"/>
    </row>
    <row r="104" spans="1:56" s="390" customFormat="1" ht="12" customHeight="1" x14ac:dyDescent="0.15">
      <c r="A104" s="396"/>
      <c r="B104" s="396"/>
      <c r="C104" s="396"/>
      <c r="D104" s="396"/>
      <c r="E104" s="396"/>
      <c r="F104" s="382"/>
      <c r="G104" s="424"/>
      <c r="H104" s="423"/>
      <c r="I104" s="423"/>
      <c r="J104" s="423"/>
      <c r="K104" s="423"/>
      <c r="L104" s="422"/>
      <c r="M104" s="397"/>
      <c r="N104" s="422"/>
      <c r="O104" s="422"/>
      <c r="P104" s="393"/>
      <c r="Q104" s="393"/>
      <c r="R104" s="393"/>
      <c r="S104" s="392"/>
      <c r="T104" s="392"/>
      <c r="U104" s="392"/>
      <c r="V104" s="392"/>
      <c r="W104" s="392"/>
      <c r="X104" s="392"/>
      <c r="Y104" s="392"/>
      <c r="Z104" s="392"/>
      <c r="AA104" s="392"/>
      <c r="AB104" s="392"/>
      <c r="AC104" s="392"/>
      <c r="AD104" s="392"/>
      <c r="AE104" s="392"/>
      <c r="AF104" s="392"/>
      <c r="AG104" s="392"/>
      <c r="AH104" s="392"/>
      <c r="AI104" s="392"/>
      <c r="AJ104" s="392"/>
      <c r="AK104" s="392"/>
      <c r="AL104" s="392"/>
      <c r="AM104" s="392"/>
      <c r="AN104" s="392"/>
      <c r="AO104" s="392"/>
      <c r="AP104" s="392"/>
      <c r="AQ104" s="392"/>
      <c r="AR104" s="392"/>
      <c r="AS104" s="373"/>
      <c r="AT104" s="373"/>
      <c r="AU104" s="373"/>
      <c r="AV104" s="373"/>
      <c r="AW104" s="373"/>
      <c r="AX104" s="373"/>
      <c r="AY104" s="373"/>
      <c r="AZ104" s="373"/>
      <c r="BA104" s="373"/>
      <c r="BB104" s="373"/>
      <c r="BC104" s="373"/>
      <c r="BD104" s="373"/>
    </row>
    <row r="105" spans="1:56" s="90" customFormat="1" ht="12" customHeight="1" x14ac:dyDescent="0.15">
      <c r="A105" s="110" t="s">
        <v>1850</v>
      </c>
      <c r="B105" s="6"/>
      <c r="C105" s="6"/>
      <c r="D105" s="6"/>
      <c r="E105" s="6"/>
      <c r="F105" s="101"/>
      <c r="G105" s="96"/>
      <c r="H105" s="103"/>
      <c r="I105" s="103"/>
      <c r="J105" s="103"/>
      <c r="K105" s="103"/>
      <c r="L105" s="100"/>
      <c r="M105" s="100"/>
      <c r="N105" s="334"/>
      <c r="O105" s="334"/>
      <c r="P105" s="149"/>
      <c r="Q105" s="149"/>
      <c r="R105" s="6"/>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13"/>
      <c r="BA105" s="441" t="str">
        <f>IF(I105="","",IF(I105=0,0,1))</f>
        <v/>
      </c>
    </row>
    <row r="106" spans="1:56" s="390" customFormat="1" ht="12" customHeight="1" x14ac:dyDescent="0.15">
      <c r="A106" s="396" t="s">
        <v>3116</v>
      </c>
      <c r="B106" s="396" t="s">
        <v>2589</v>
      </c>
      <c r="C106" s="396" t="s">
        <v>2959</v>
      </c>
      <c r="D106" s="396" t="s">
        <v>2954</v>
      </c>
      <c r="E106" s="396" t="s">
        <v>3245</v>
      </c>
      <c r="F106" s="382">
        <v>41936</v>
      </c>
      <c r="G106" s="424"/>
      <c r="H106" s="423"/>
      <c r="I106" s="423"/>
      <c r="J106" s="423"/>
      <c r="K106" s="423"/>
      <c r="L106" s="422"/>
      <c r="M106" s="397"/>
      <c r="N106" s="356" t="s">
        <v>3344</v>
      </c>
      <c r="O106" s="422"/>
      <c r="P106" s="393"/>
      <c r="Q106" s="393"/>
      <c r="R106" s="393"/>
      <c r="S106" s="392"/>
      <c r="T106" s="392"/>
      <c r="U106" s="392"/>
      <c r="V106" s="392"/>
      <c r="W106" s="392"/>
      <c r="X106" s="392"/>
      <c r="Y106" s="392"/>
      <c r="Z106" s="392"/>
      <c r="AA106" s="392"/>
      <c r="AB106" s="392"/>
      <c r="AC106" s="392"/>
      <c r="AD106" s="392"/>
      <c r="AE106" s="392"/>
      <c r="AF106" s="392"/>
      <c r="AG106" s="392"/>
      <c r="AH106" s="392"/>
      <c r="AI106" s="392"/>
      <c r="AJ106" s="392"/>
      <c r="AK106" s="392"/>
      <c r="AL106" s="392"/>
      <c r="AM106" s="392"/>
      <c r="AN106" s="392"/>
      <c r="AO106" s="392"/>
      <c r="AP106" s="392"/>
      <c r="AQ106" s="392"/>
      <c r="AR106" s="392"/>
      <c r="AS106" s="373"/>
      <c r="AT106" s="373"/>
      <c r="AU106" s="373"/>
      <c r="AV106" s="373"/>
      <c r="AW106" s="373"/>
      <c r="AX106" s="373"/>
      <c r="AY106" s="373"/>
      <c r="AZ106" s="373"/>
      <c r="BA106" s="373"/>
      <c r="BB106" s="373"/>
      <c r="BC106" s="373"/>
      <c r="BD106" s="373"/>
    </row>
    <row r="107" spans="1:56" s="390" customFormat="1" ht="12" customHeight="1" x14ac:dyDescent="0.15">
      <c r="A107" s="396" t="s">
        <v>3117</v>
      </c>
      <c r="B107" s="396" t="s">
        <v>2598</v>
      </c>
      <c r="C107" s="396" t="s">
        <v>3002</v>
      </c>
      <c r="D107" s="396" t="s">
        <v>3001</v>
      </c>
      <c r="E107" s="396" t="s">
        <v>3246</v>
      </c>
      <c r="F107" s="382">
        <v>41927</v>
      </c>
      <c r="G107" s="424"/>
      <c r="H107" s="423"/>
      <c r="I107" s="423"/>
      <c r="J107" s="423"/>
      <c r="K107" s="423"/>
      <c r="L107" s="422"/>
      <c r="M107" s="397"/>
      <c r="N107" s="356" t="s">
        <v>3344</v>
      </c>
      <c r="O107" s="422"/>
      <c r="P107" s="393"/>
      <c r="Q107" s="393"/>
      <c r="R107" s="393"/>
      <c r="S107" s="392"/>
      <c r="T107" s="392"/>
      <c r="U107" s="392"/>
      <c r="V107" s="392"/>
      <c r="W107" s="392"/>
      <c r="X107" s="392"/>
      <c r="Y107" s="392"/>
      <c r="Z107" s="392"/>
      <c r="AA107" s="392"/>
      <c r="AB107" s="392"/>
      <c r="AC107" s="392"/>
      <c r="AD107" s="392"/>
      <c r="AE107" s="392"/>
      <c r="AF107" s="392"/>
      <c r="AG107" s="392"/>
      <c r="AH107" s="392"/>
      <c r="AI107" s="392"/>
      <c r="AJ107" s="392"/>
      <c r="AK107" s="392"/>
      <c r="AL107" s="392"/>
      <c r="AM107" s="392"/>
      <c r="AN107" s="392"/>
      <c r="AO107" s="392"/>
      <c r="AP107" s="392"/>
      <c r="AQ107" s="392"/>
      <c r="AR107" s="392"/>
      <c r="AS107" s="373"/>
      <c r="AT107" s="373"/>
      <c r="AU107" s="373"/>
      <c r="AV107" s="373"/>
      <c r="AW107" s="373"/>
      <c r="AX107" s="373"/>
      <c r="AY107" s="373"/>
      <c r="AZ107" s="373"/>
      <c r="BA107" s="373"/>
      <c r="BB107" s="373"/>
      <c r="BC107" s="373"/>
      <c r="BD107" s="373"/>
    </row>
    <row r="108" spans="1:56" s="390" customFormat="1" ht="12" customHeight="1" x14ac:dyDescent="0.15">
      <c r="A108" s="396" t="s">
        <v>3130</v>
      </c>
      <c r="B108" s="396" t="s">
        <v>2598</v>
      </c>
      <c r="C108" s="396" t="s">
        <v>2741</v>
      </c>
      <c r="D108" s="396" t="s">
        <v>1702</v>
      </c>
      <c r="E108" s="396" t="s">
        <v>3048</v>
      </c>
      <c r="F108" s="382">
        <v>41888</v>
      </c>
      <c r="G108" s="424"/>
      <c r="H108" s="423"/>
      <c r="I108" s="423"/>
      <c r="J108" s="423"/>
      <c r="K108" s="423"/>
      <c r="L108" s="422"/>
      <c r="M108" s="397"/>
      <c r="N108" s="356" t="s">
        <v>3344</v>
      </c>
      <c r="O108" s="422"/>
      <c r="P108" s="393"/>
      <c r="Q108" s="393"/>
      <c r="R108" s="393"/>
      <c r="S108" s="392"/>
      <c r="T108" s="392"/>
      <c r="U108" s="392"/>
      <c r="V108" s="392"/>
      <c r="W108" s="392"/>
      <c r="X108" s="392"/>
      <c r="Y108" s="392"/>
      <c r="Z108" s="392"/>
      <c r="AA108" s="392"/>
      <c r="AB108" s="392"/>
      <c r="AC108" s="392"/>
      <c r="AD108" s="392"/>
      <c r="AE108" s="392"/>
      <c r="AF108" s="392"/>
      <c r="AG108" s="392"/>
      <c r="AH108" s="392"/>
      <c r="AI108" s="392"/>
      <c r="AJ108" s="392"/>
      <c r="AK108" s="392"/>
      <c r="AL108" s="392"/>
      <c r="AM108" s="392"/>
      <c r="AN108" s="392"/>
      <c r="AO108" s="392"/>
      <c r="AP108" s="392"/>
      <c r="AQ108" s="392"/>
      <c r="AR108" s="392"/>
      <c r="AS108" s="373"/>
      <c r="AT108" s="373"/>
      <c r="AU108" s="373"/>
      <c r="AV108" s="373"/>
      <c r="AW108" s="373"/>
      <c r="AX108" s="373"/>
      <c r="AY108" s="373"/>
      <c r="AZ108" s="373"/>
      <c r="BA108" s="373"/>
      <c r="BB108" s="373"/>
      <c r="BC108" s="373"/>
      <c r="BD108" s="373"/>
    </row>
    <row r="109" spans="1:56" s="390" customFormat="1" ht="12" customHeight="1" x14ac:dyDescent="0.15">
      <c r="A109" s="396" t="s">
        <v>3135</v>
      </c>
      <c r="B109" s="396" t="s">
        <v>2598</v>
      </c>
      <c r="C109" s="396" t="s">
        <v>2823</v>
      </c>
      <c r="D109" s="396" t="s">
        <v>2701</v>
      </c>
      <c r="E109" s="396" t="s">
        <v>3048</v>
      </c>
      <c r="F109" s="382">
        <v>41886</v>
      </c>
      <c r="G109" s="424"/>
      <c r="H109" s="423"/>
      <c r="I109" s="423"/>
      <c r="J109" s="423"/>
      <c r="K109" s="423"/>
      <c r="L109" s="422"/>
      <c r="M109" s="397"/>
      <c r="N109" s="356" t="s">
        <v>2519</v>
      </c>
      <c r="O109" s="422"/>
      <c r="P109" s="393"/>
      <c r="Q109" s="393"/>
      <c r="R109" s="393"/>
      <c r="S109" s="392"/>
      <c r="T109" s="392"/>
      <c r="U109" s="392"/>
      <c r="V109" s="392"/>
      <c r="W109" s="392"/>
      <c r="X109" s="392"/>
      <c r="Y109" s="392"/>
      <c r="Z109" s="392"/>
      <c r="AA109" s="392"/>
      <c r="AB109" s="392"/>
      <c r="AC109" s="392"/>
      <c r="AD109" s="392"/>
      <c r="AE109" s="392"/>
      <c r="AF109" s="392"/>
      <c r="AG109" s="392"/>
      <c r="AH109" s="392"/>
      <c r="AI109" s="392"/>
      <c r="AJ109" s="392"/>
      <c r="AK109" s="392"/>
      <c r="AL109" s="392"/>
      <c r="AM109" s="392"/>
      <c r="AN109" s="392"/>
      <c r="AO109" s="392"/>
      <c r="AP109" s="392"/>
      <c r="AQ109" s="392"/>
      <c r="AR109" s="392"/>
      <c r="AS109" s="373"/>
      <c r="AT109" s="373"/>
      <c r="AU109" s="373"/>
      <c r="AV109" s="373"/>
      <c r="AW109" s="373"/>
      <c r="AX109" s="373"/>
      <c r="AY109" s="373"/>
      <c r="AZ109" s="373"/>
      <c r="BA109" s="373"/>
      <c r="BB109" s="373"/>
      <c r="BC109" s="373"/>
      <c r="BD109" s="373"/>
    </row>
    <row r="110" spans="1:56" s="390" customFormat="1" ht="12" customHeight="1" x14ac:dyDescent="0.15">
      <c r="A110" s="396" t="s">
        <v>3138</v>
      </c>
      <c r="B110" s="396" t="s">
        <v>2589</v>
      </c>
      <c r="C110" s="396" t="s">
        <v>3030</v>
      </c>
      <c r="D110" s="396" t="s">
        <v>3029</v>
      </c>
      <c r="E110" s="396" t="s">
        <v>2920</v>
      </c>
      <c r="F110" s="382">
        <v>41902</v>
      </c>
      <c r="G110" s="398"/>
      <c r="H110" s="423"/>
      <c r="I110" s="423"/>
      <c r="J110" s="423"/>
      <c r="K110" s="423"/>
      <c r="L110" s="398"/>
      <c r="M110" s="398"/>
      <c r="N110" s="356" t="s">
        <v>4725</v>
      </c>
      <c r="O110" s="394"/>
      <c r="P110" s="394"/>
      <c r="Q110" s="393"/>
      <c r="R110" s="392"/>
      <c r="S110" s="392"/>
      <c r="T110" s="392"/>
      <c r="U110" s="392"/>
      <c r="V110" s="392"/>
      <c r="W110" s="392"/>
      <c r="X110" s="392"/>
      <c r="Y110" s="392"/>
      <c r="Z110" s="392"/>
      <c r="AA110" s="392"/>
      <c r="AB110" s="392"/>
      <c r="AC110" s="392"/>
      <c r="AD110" s="392"/>
      <c r="AE110" s="392"/>
      <c r="AF110" s="392"/>
      <c r="AG110" s="392"/>
      <c r="AH110" s="392"/>
      <c r="AI110" s="392"/>
      <c r="AJ110" s="392"/>
      <c r="AK110" s="392"/>
      <c r="AL110" s="392"/>
      <c r="AM110" s="392"/>
      <c r="AN110" s="392"/>
      <c r="AO110" s="392"/>
      <c r="AP110" s="392"/>
      <c r="AQ110" s="392"/>
      <c r="AR110" s="392"/>
      <c r="AS110" s="373"/>
    </row>
    <row r="111" spans="1:56" s="390" customFormat="1" ht="12" customHeight="1" x14ac:dyDescent="0.15">
      <c r="A111" s="396" t="s">
        <v>3042</v>
      </c>
      <c r="B111" s="396" t="s">
        <v>2589</v>
      </c>
      <c r="C111" s="396" t="s">
        <v>2915</v>
      </c>
      <c r="D111" s="396" t="s">
        <v>2582</v>
      </c>
      <c r="E111" s="396" t="s">
        <v>2920</v>
      </c>
      <c r="F111" s="382">
        <v>41874</v>
      </c>
      <c r="G111" s="424"/>
      <c r="H111" s="423"/>
      <c r="I111" s="423"/>
      <c r="J111" s="423"/>
      <c r="K111" s="423"/>
      <c r="L111" s="422"/>
      <c r="M111" s="397"/>
      <c r="N111" s="356" t="s">
        <v>2519</v>
      </c>
      <c r="O111" s="422"/>
      <c r="P111" s="393"/>
      <c r="Q111" s="393"/>
      <c r="R111" s="393"/>
      <c r="S111" s="392"/>
      <c r="T111" s="392"/>
      <c r="U111" s="392"/>
      <c r="V111" s="392"/>
      <c r="W111" s="392"/>
      <c r="X111" s="392"/>
      <c r="Y111" s="392"/>
      <c r="Z111" s="392"/>
      <c r="AA111" s="392"/>
      <c r="AB111" s="392"/>
      <c r="AC111" s="392"/>
      <c r="AD111" s="392"/>
      <c r="AE111" s="392"/>
      <c r="AF111" s="392"/>
      <c r="AG111" s="392"/>
      <c r="AH111" s="392"/>
      <c r="AI111" s="392"/>
      <c r="AJ111" s="392"/>
      <c r="AK111" s="392"/>
      <c r="AL111" s="392"/>
      <c r="AM111" s="392"/>
      <c r="AN111" s="392"/>
      <c r="AO111" s="392"/>
      <c r="AP111" s="392"/>
      <c r="AQ111" s="392"/>
      <c r="AR111" s="392"/>
      <c r="AS111" s="373"/>
      <c r="AT111" s="373"/>
      <c r="AU111" s="373"/>
      <c r="AV111" s="373"/>
      <c r="AW111" s="373"/>
      <c r="AX111" s="373"/>
      <c r="AY111" s="373"/>
      <c r="AZ111" s="373"/>
      <c r="BA111" s="373"/>
      <c r="BB111" s="373"/>
      <c r="BC111" s="373"/>
      <c r="BD111" s="373"/>
    </row>
    <row r="112" spans="1:56" s="390" customFormat="1" ht="12" customHeight="1" x14ac:dyDescent="0.15">
      <c r="A112" s="396"/>
      <c r="B112" s="396"/>
      <c r="C112" s="396"/>
      <c r="D112" s="396"/>
      <c r="E112" s="396"/>
      <c r="F112" s="382"/>
      <c r="G112" s="424"/>
      <c r="H112" s="423"/>
      <c r="I112" s="423"/>
      <c r="J112" s="423"/>
      <c r="K112" s="423"/>
      <c r="L112" s="422"/>
      <c r="M112" s="397"/>
      <c r="N112" s="356"/>
      <c r="O112" s="422"/>
      <c r="P112" s="393"/>
      <c r="Q112" s="393"/>
      <c r="R112" s="393"/>
      <c r="S112" s="392"/>
      <c r="T112" s="392"/>
      <c r="U112" s="392"/>
      <c r="V112" s="392"/>
      <c r="W112" s="392"/>
      <c r="X112" s="392"/>
      <c r="Y112" s="392"/>
      <c r="Z112" s="392"/>
      <c r="AA112" s="392"/>
      <c r="AB112" s="392"/>
      <c r="AC112" s="392"/>
      <c r="AD112" s="392"/>
      <c r="AE112" s="392"/>
      <c r="AF112" s="392"/>
      <c r="AG112" s="392"/>
      <c r="AH112" s="392"/>
      <c r="AI112" s="392"/>
      <c r="AJ112" s="392"/>
      <c r="AK112" s="392"/>
      <c r="AL112" s="392"/>
      <c r="AM112" s="392"/>
      <c r="AN112" s="392"/>
      <c r="AO112" s="392"/>
      <c r="AP112" s="392"/>
      <c r="AQ112" s="392"/>
      <c r="AR112" s="392"/>
      <c r="AS112" s="373"/>
      <c r="AT112" s="373"/>
      <c r="AU112" s="373"/>
      <c r="AV112" s="373"/>
      <c r="AW112" s="373"/>
      <c r="AX112" s="373"/>
      <c r="AY112" s="373"/>
      <c r="AZ112" s="373"/>
      <c r="BA112" s="373"/>
      <c r="BB112" s="373"/>
      <c r="BC112" s="373"/>
      <c r="BD112" s="373"/>
    </row>
    <row r="113" spans="1:56" s="390" customFormat="1" ht="12" customHeight="1" x14ac:dyDescent="0.15">
      <c r="A113" s="396"/>
      <c r="B113" s="396"/>
      <c r="C113" s="396"/>
      <c r="D113" s="396"/>
      <c r="E113" s="396"/>
      <c r="F113" s="382"/>
      <c r="G113" s="424"/>
      <c r="H113" s="423"/>
      <c r="I113" s="423"/>
      <c r="J113" s="423"/>
      <c r="K113" s="423"/>
      <c r="L113" s="422"/>
      <c r="M113" s="397"/>
      <c r="N113" s="356"/>
      <c r="O113" s="422"/>
      <c r="P113" s="393"/>
      <c r="Q113" s="393"/>
      <c r="R113" s="393"/>
      <c r="S113" s="392"/>
      <c r="T113" s="392"/>
      <c r="U113" s="392"/>
      <c r="V113" s="392"/>
      <c r="W113" s="392"/>
      <c r="X113" s="392"/>
      <c r="Y113" s="392"/>
      <c r="Z113" s="392"/>
      <c r="AA113" s="392"/>
      <c r="AB113" s="392"/>
      <c r="AC113" s="392"/>
      <c r="AD113" s="392"/>
      <c r="AE113" s="392"/>
      <c r="AF113" s="392"/>
      <c r="AG113" s="392"/>
      <c r="AH113" s="392"/>
      <c r="AI113" s="392"/>
      <c r="AJ113" s="392"/>
      <c r="AK113" s="392"/>
      <c r="AL113" s="392"/>
      <c r="AM113" s="392"/>
      <c r="AN113" s="392"/>
      <c r="AO113" s="392"/>
      <c r="AP113" s="392"/>
      <c r="AQ113" s="392"/>
      <c r="AR113" s="392"/>
      <c r="AS113" s="373"/>
      <c r="AT113" s="373"/>
      <c r="AU113" s="373"/>
      <c r="AV113" s="373"/>
      <c r="AW113" s="373"/>
      <c r="AX113" s="373"/>
      <c r="AY113" s="373"/>
      <c r="AZ113" s="373"/>
      <c r="BA113" s="373"/>
      <c r="BB113" s="373"/>
      <c r="BC113" s="373"/>
      <c r="BD113" s="373"/>
    </row>
    <row r="114" spans="1:56" s="374" customFormat="1" ht="12" customHeight="1" x14ac:dyDescent="0.15">
      <c r="A114" s="379"/>
      <c r="B114" s="379"/>
      <c r="C114" s="379"/>
      <c r="D114" s="379"/>
      <c r="E114" s="379"/>
      <c r="F114" s="382"/>
      <c r="G114" s="377"/>
      <c r="H114" s="380"/>
      <c r="I114" s="380"/>
      <c r="J114" s="380"/>
      <c r="K114" s="380"/>
      <c r="L114" s="383"/>
      <c r="N114" s="383"/>
      <c r="O114" s="383"/>
      <c r="S114" s="373"/>
      <c r="T114" s="373"/>
      <c r="U114" s="373"/>
      <c r="V114" s="373"/>
      <c r="W114" s="373"/>
      <c r="X114" s="373"/>
      <c r="Y114" s="373"/>
      <c r="Z114" s="373"/>
      <c r="AA114" s="373"/>
      <c r="AB114" s="373"/>
      <c r="AC114" s="373"/>
      <c r="AD114" s="373"/>
      <c r="AE114" s="373"/>
      <c r="AF114" s="373"/>
      <c r="AG114" s="373"/>
      <c r="AH114" s="373"/>
      <c r="AI114" s="373"/>
      <c r="AJ114" s="373"/>
      <c r="AK114" s="373"/>
      <c r="AL114" s="373"/>
      <c r="AM114" s="373"/>
      <c r="AN114" s="373"/>
      <c r="AO114" s="373"/>
      <c r="AP114" s="373"/>
      <c r="AQ114" s="373"/>
      <c r="AR114" s="373"/>
      <c r="AS114" s="373"/>
      <c r="AT114" s="373"/>
      <c r="AU114" s="373"/>
      <c r="AV114" s="373"/>
      <c r="AW114" s="373"/>
      <c r="AX114" s="373"/>
      <c r="AY114" s="373"/>
      <c r="AZ114" s="373"/>
      <c r="BA114" s="373"/>
      <c r="BB114" s="373"/>
      <c r="BC114" s="373"/>
      <c r="BD114" s="373"/>
    </row>
    <row r="115" spans="1:56" s="374" customFormat="1" ht="12" customHeight="1" x14ac:dyDescent="0.15">
      <c r="A115" s="379"/>
      <c r="B115" s="379"/>
      <c r="C115" s="379"/>
      <c r="D115" s="379"/>
      <c r="E115" s="379"/>
      <c r="F115" s="382"/>
      <c r="G115" s="377"/>
      <c r="H115" s="380"/>
      <c r="I115" s="380"/>
      <c r="J115" s="380"/>
      <c r="K115" s="380"/>
      <c r="L115" s="381"/>
      <c r="N115" s="381"/>
      <c r="O115" s="381"/>
      <c r="S115" s="373"/>
      <c r="T115" s="373"/>
      <c r="U115" s="373"/>
      <c r="V115" s="373"/>
      <c r="W115" s="373"/>
      <c r="X115" s="373"/>
      <c r="Y115" s="373"/>
      <c r="Z115" s="373"/>
      <c r="AA115" s="373"/>
      <c r="AB115" s="373"/>
      <c r="AC115" s="373"/>
      <c r="AD115" s="373"/>
      <c r="AE115" s="373"/>
      <c r="AF115" s="373"/>
      <c r="AG115" s="373"/>
      <c r="AH115" s="373"/>
      <c r="AI115" s="373"/>
      <c r="AJ115" s="373"/>
      <c r="AK115" s="373"/>
      <c r="AL115" s="373"/>
      <c r="AM115" s="373"/>
      <c r="AN115" s="373"/>
      <c r="AO115" s="373"/>
      <c r="AP115" s="373"/>
      <c r="AQ115" s="373"/>
      <c r="AR115" s="373"/>
      <c r="AS115" s="373"/>
      <c r="AT115" s="373"/>
      <c r="AU115" s="373"/>
      <c r="AV115" s="373"/>
      <c r="AW115" s="373"/>
      <c r="AX115" s="373"/>
      <c r="AY115" s="373"/>
      <c r="AZ115" s="373"/>
      <c r="BA115" s="373"/>
      <c r="BB115" s="373"/>
      <c r="BC115" s="373"/>
      <c r="BD115" s="373"/>
    </row>
    <row r="116" spans="1:56" s="374" customFormat="1" ht="12" customHeight="1" x14ac:dyDescent="0.15">
      <c r="A116" s="379"/>
      <c r="B116" s="379"/>
      <c r="C116" s="379"/>
      <c r="D116" s="379"/>
      <c r="E116" s="379"/>
      <c r="F116" s="382"/>
      <c r="G116" s="377"/>
      <c r="H116" s="380"/>
      <c r="I116" s="380"/>
      <c r="J116" s="380"/>
      <c r="K116" s="380"/>
      <c r="L116" s="389"/>
      <c r="N116" s="389"/>
      <c r="O116" s="389"/>
      <c r="S116" s="373"/>
      <c r="T116" s="373"/>
      <c r="U116" s="373"/>
      <c r="V116" s="373"/>
      <c r="W116" s="373"/>
      <c r="X116" s="373"/>
      <c r="Y116" s="373"/>
      <c r="Z116" s="373"/>
      <c r="AA116" s="373"/>
      <c r="AB116" s="373"/>
      <c r="AC116" s="373"/>
      <c r="AD116" s="373"/>
      <c r="AE116" s="373"/>
      <c r="AF116" s="373"/>
      <c r="AG116" s="373"/>
      <c r="AH116" s="373"/>
      <c r="AI116" s="373"/>
      <c r="AJ116" s="373"/>
      <c r="AK116" s="373"/>
      <c r="AL116" s="373"/>
      <c r="AM116" s="373"/>
      <c r="AN116" s="373"/>
      <c r="AO116" s="373"/>
      <c r="AP116" s="373"/>
      <c r="AQ116" s="373"/>
      <c r="AR116" s="373"/>
      <c r="AS116" s="373"/>
      <c r="AT116" s="373"/>
      <c r="AU116" s="373"/>
      <c r="AV116" s="373"/>
      <c r="AW116" s="373"/>
      <c r="AX116" s="373"/>
      <c r="AY116" s="373"/>
      <c r="AZ116" s="373"/>
      <c r="BA116" s="373"/>
      <c r="BB116" s="373"/>
      <c r="BC116" s="373"/>
      <c r="BD116" s="373"/>
    </row>
    <row r="117" spans="1:56" s="374" customFormat="1" ht="12" customHeight="1" x14ac:dyDescent="0.15">
      <c r="A117" s="379"/>
      <c r="B117" s="379"/>
      <c r="C117" s="379"/>
      <c r="D117" s="379"/>
      <c r="E117" s="379"/>
      <c r="F117" s="382"/>
      <c r="G117" s="377"/>
      <c r="H117" s="380"/>
      <c r="I117" s="380"/>
      <c r="J117" s="380"/>
      <c r="K117" s="380"/>
      <c r="L117" s="389"/>
      <c r="N117" s="389"/>
      <c r="O117" s="389"/>
      <c r="S117" s="373"/>
      <c r="T117" s="373"/>
      <c r="U117" s="373"/>
      <c r="V117" s="373"/>
      <c r="W117" s="373"/>
      <c r="X117" s="373"/>
      <c r="Y117" s="373"/>
      <c r="Z117" s="373"/>
      <c r="AA117" s="373"/>
      <c r="AB117" s="373"/>
      <c r="AC117" s="373"/>
      <c r="AD117" s="373"/>
      <c r="AE117" s="373"/>
      <c r="AF117" s="373"/>
      <c r="AG117" s="373"/>
      <c r="AH117" s="373"/>
      <c r="AI117" s="373"/>
      <c r="AJ117" s="373"/>
      <c r="AK117" s="373"/>
      <c r="AL117" s="373"/>
      <c r="AM117" s="373"/>
      <c r="AN117" s="373"/>
      <c r="AO117" s="373"/>
      <c r="AP117" s="373"/>
      <c r="AQ117" s="373"/>
      <c r="AR117" s="373"/>
      <c r="AS117" s="373"/>
      <c r="AT117" s="373"/>
      <c r="AU117" s="373"/>
      <c r="AV117" s="373"/>
      <c r="AW117" s="373"/>
      <c r="AX117" s="373"/>
      <c r="AY117" s="373"/>
      <c r="AZ117" s="373"/>
      <c r="BA117" s="373"/>
      <c r="BB117" s="373"/>
      <c r="BC117" s="373"/>
      <c r="BD117" s="373"/>
    </row>
    <row r="118" spans="1:56" s="374" customFormat="1" ht="12" customHeight="1" x14ac:dyDescent="0.15">
      <c r="A118" s="379"/>
      <c r="B118" s="379"/>
      <c r="C118" s="379"/>
      <c r="D118" s="379"/>
      <c r="E118" s="379"/>
      <c r="F118" s="382"/>
      <c r="G118" s="377"/>
      <c r="H118" s="380"/>
      <c r="I118" s="380"/>
      <c r="J118" s="380"/>
      <c r="K118" s="380"/>
      <c r="L118" s="389"/>
      <c r="N118" s="389"/>
      <c r="O118" s="389"/>
      <c r="S118" s="373"/>
      <c r="T118" s="373"/>
      <c r="U118" s="373"/>
      <c r="V118" s="373"/>
      <c r="W118" s="373"/>
      <c r="X118" s="373"/>
      <c r="Y118" s="373"/>
      <c r="Z118" s="373"/>
      <c r="AA118" s="373"/>
      <c r="AB118" s="373"/>
      <c r="AC118" s="373"/>
      <c r="AD118" s="373"/>
      <c r="AE118" s="373"/>
      <c r="AF118" s="373"/>
      <c r="AG118" s="373"/>
      <c r="AH118" s="373"/>
      <c r="AI118" s="373"/>
      <c r="AJ118" s="373"/>
      <c r="AK118" s="373"/>
      <c r="AL118" s="373"/>
      <c r="AM118" s="373"/>
      <c r="AN118" s="373"/>
      <c r="AO118" s="373"/>
      <c r="AP118" s="373"/>
      <c r="AQ118" s="373"/>
      <c r="AR118" s="373"/>
      <c r="AS118" s="373"/>
      <c r="AT118" s="373"/>
      <c r="AU118" s="373"/>
      <c r="AV118" s="373"/>
      <c r="AW118" s="373"/>
      <c r="AX118" s="373"/>
      <c r="AY118" s="373"/>
      <c r="AZ118" s="373"/>
      <c r="BA118" s="373"/>
      <c r="BB118" s="373"/>
      <c r="BC118" s="373"/>
      <c r="BD118" s="373"/>
    </row>
    <row r="119" spans="1:56" s="374" customFormat="1" ht="12" customHeight="1" x14ac:dyDescent="0.15">
      <c r="A119" s="379"/>
      <c r="B119" s="379"/>
      <c r="C119" s="379"/>
      <c r="D119" s="379"/>
      <c r="E119" s="379"/>
      <c r="F119" s="382"/>
      <c r="G119" s="377"/>
      <c r="H119" s="380"/>
      <c r="I119" s="380"/>
      <c r="J119" s="380"/>
      <c r="K119" s="380"/>
      <c r="L119" s="380"/>
      <c r="N119" s="380"/>
      <c r="O119" s="380"/>
      <c r="S119" s="373"/>
      <c r="T119" s="373"/>
      <c r="U119" s="373"/>
      <c r="V119" s="373"/>
      <c r="W119" s="373"/>
      <c r="X119" s="373"/>
      <c r="Y119" s="373"/>
      <c r="Z119" s="373"/>
      <c r="AA119" s="373"/>
      <c r="AB119" s="373"/>
      <c r="AC119" s="373"/>
      <c r="AD119" s="373"/>
      <c r="AE119" s="373"/>
      <c r="AF119" s="373"/>
      <c r="AG119" s="373"/>
      <c r="AH119" s="373"/>
      <c r="AI119" s="373"/>
      <c r="AJ119" s="373"/>
      <c r="AK119" s="373"/>
      <c r="AL119" s="373"/>
      <c r="AM119" s="373"/>
      <c r="AN119" s="373"/>
      <c r="AO119" s="373"/>
      <c r="AP119" s="373"/>
      <c r="AQ119" s="373"/>
      <c r="AR119" s="373"/>
      <c r="AS119" s="373"/>
      <c r="AT119" s="373"/>
      <c r="AU119" s="373"/>
      <c r="AV119" s="373"/>
      <c r="AW119" s="373"/>
      <c r="AX119" s="373"/>
      <c r="AY119" s="373"/>
      <c r="AZ119" s="373"/>
      <c r="BA119" s="373"/>
      <c r="BB119" s="373"/>
      <c r="BC119" s="373"/>
      <c r="BD119" s="373"/>
    </row>
    <row r="120" spans="1:56" s="374" customFormat="1" ht="12" customHeight="1" x14ac:dyDescent="0.15">
      <c r="A120" s="379"/>
      <c r="B120" s="379"/>
      <c r="C120" s="379"/>
      <c r="D120" s="379"/>
      <c r="E120" s="379"/>
      <c r="F120" s="382"/>
      <c r="G120" s="377"/>
      <c r="H120" s="380"/>
      <c r="I120" s="380"/>
      <c r="J120" s="380"/>
      <c r="K120" s="380"/>
      <c r="L120" s="385"/>
      <c r="N120" s="385"/>
      <c r="O120" s="385"/>
      <c r="S120" s="373"/>
      <c r="T120" s="373"/>
      <c r="U120" s="373"/>
      <c r="V120" s="373"/>
      <c r="W120" s="373"/>
      <c r="X120" s="373"/>
      <c r="Y120" s="373"/>
      <c r="Z120" s="373"/>
      <c r="AA120" s="373"/>
      <c r="AB120" s="373"/>
      <c r="AC120" s="373"/>
      <c r="AD120" s="373"/>
      <c r="AE120" s="373"/>
      <c r="AF120" s="373"/>
      <c r="AG120" s="373"/>
      <c r="AH120" s="373"/>
      <c r="AI120" s="373"/>
      <c r="AJ120" s="373"/>
      <c r="AK120" s="373"/>
      <c r="AL120" s="373"/>
      <c r="AM120" s="373"/>
      <c r="AN120" s="373"/>
      <c r="AO120" s="373"/>
      <c r="AP120" s="373"/>
      <c r="AQ120" s="373"/>
      <c r="AR120" s="373"/>
      <c r="AS120" s="373"/>
      <c r="AT120" s="373"/>
      <c r="AU120" s="373"/>
      <c r="AV120" s="373"/>
      <c r="AW120" s="373"/>
      <c r="AX120" s="373"/>
      <c r="AY120" s="373"/>
      <c r="AZ120" s="373"/>
      <c r="BA120" s="373"/>
      <c r="BB120" s="373"/>
      <c r="BC120" s="373"/>
      <c r="BD120" s="373"/>
    </row>
    <row r="121" spans="1:56" s="374" customFormat="1" ht="12" customHeight="1" x14ac:dyDescent="0.15">
      <c r="A121" s="379"/>
      <c r="B121" s="379"/>
      <c r="C121" s="379"/>
      <c r="D121" s="379"/>
      <c r="E121" s="379"/>
      <c r="F121" s="382"/>
      <c r="G121" s="377"/>
      <c r="H121" s="381"/>
      <c r="I121" s="381"/>
      <c r="J121" s="381"/>
      <c r="K121" s="381"/>
      <c r="L121" s="381"/>
      <c r="M121" s="375"/>
      <c r="N121" s="381"/>
      <c r="O121" s="381"/>
      <c r="S121" s="373"/>
      <c r="T121" s="373"/>
      <c r="U121" s="373"/>
      <c r="V121" s="373"/>
      <c r="W121" s="373"/>
      <c r="X121" s="373"/>
      <c r="Y121" s="373"/>
      <c r="Z121" s="373"/>
      <c r="AA121" s="373"/>
      <c r="AB121" s="373"/>
      <c r="AC121" s="373"/>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3"/>
      <c r="AY121" s="373"/>
      <c r="AZ121" s="373"/>
      <c r="BA121" s="373"/>
      <c r="BB121" s="373"/>
      <c r="BC121" s="373"/>
      <c r="BD121" s="373"/>
    </row>
    <row r="122" spans="1:56" s="374" customFormat="1" ht="12" customHeight="1" x14ac:dyDescent="0.15">
      <c r="A122" s="379"/>
      <c r="B122" s="379"/>
      <c r="C122" s="379"/>
      <c r="D122" s="379"/>
      <c r="E122" s="379"/>
      <c r="F122" s="382"/>
      <c r="G122" s="377"/>
      <c r="H122" s="381"/>
      <c r="I122" s="381"/>
      <c r="J122" s="381"/>
      <c r="K122" s="381"/>
      <c r="L122" s="380"/>
      <c r="M122" s="375"/>
      <c r="N122" s="380"/>
      <c r="O122" s="380"/>
      <c r="S122" s="373"/>
      <c r="T122" s="373"/>
      <c r="U122" s="373"/>
      <c r="V122" s="373"/>
      <c r="W122" s="373"/>
      <c r="X122" s="373"/>
      <c r="Y122" s="373"/>
      <c r="Z122" s="373"/>
      <c r="AA122" s="373"/>
      <c r="AB122" s="373"/>
      <c r="AC122" s="373"/>
      <c r="AD122" s="373"/>
      <c r="AE122" s="373"/>
      <c r="AF122" s="373"/>
      <c r="AG122" s="373"/>
      <c r="AH122" s="373"/>
      <c r="AI122" s="373"/>
      <c r="AJ122" s="373"/>
      <c r="AK122" s="373"/>
      <c r="AL122" s="373"/>
      <c r="AM122" s="373"/>
      <c r="AN122" s="373"/>
      <c r="AO122" s="373"/>
      <c r="AP122" s="373"/>
      <c r="AQ122" s="373"/>
      <c r="AR122" s="373"/>
      <c r="AS122" s="373"/>
      <c r="AT122" s="373"/>
      <c r="AU122" s="373"/>
      <c r="AV122" s="373"/>
      <c r="AW122" s="373"/>
      <c r="AX122" s="373"/>
      <c r="AY122" s="373"/>
      <c r="AZ122" s="373"/>
      <c r="BA122" s="373"/>
      <c r="BB122" s="373"/>
      <c r="BC122" s="373"/>
      <c r="BD122" s="373"/>
    </row>
    <row r="123" spans="1:56" s="374" customFormat="1" ht="12" customHeight="1" x14ac:dyDescent="0.15">
      <c r="A123" s="379"/>
      <c r="B123" s="379"/>
      <c r="C123" s="379"/>
      <c r="D123" s="379"/>
      <c r="E123" s="379"/>
      <c r="F123" s="382"/>
      <c r="G123" s="377"/>
      <c r="H123" s="380"/>
      <c r="I123" s="380"/>
      <c r="J123" s="380"/>
      <c r="K123" s="380"/>
      <c r="L123" s="380"/>
      <c r="M123" s="375"/>
      <c r="N123" s="380"/>
      <c r="O123" s="380"/>
      <c r="S123" s="373"/>
      <c r="T123" s="373"/>
      <c r="U123" s="373"/>
      <c r="V123" s="373"/>
      <c r="W123" s="373"/>
      <c r="X123" s="373"/>
      <c r="Y123" s="373"/>
      <c r="Z123" s="373"/>
      <c r="AA123" s="373"/>
      <c r="AB123" s="373"/>
      <c r="AC123" s="373"/>
      <c r="AD123" s="373"/>
      <c r="AE123" s="373"/>
      <c r="AF123" s="373"/>
      <c r="AG123" s="373"/>
      <c r="AH123" s="373"/>
      <c r="AI123" s="373"/>
      <c r="AJ123" s="373"/>
      <c r="AK123" s="373"/>
      <c r="AL123" s="373"/>
      <c r="AM123" s="373"/>
      <c r="AN123" s="373"/>
      <c r="AO123" s="373"/>
      <c r="AP123" s="373"/>
      <c r="AQ123" s="373"/>
      <c r="AR123" s="373"/>
      <c r="AS123" s="373"/>
      <c r="AT123" s="373"/>
      <c r="AU123" s="373"/>
      <c r="AV123" s="373"/>
      <c r="AW123" s="373"/>
      <c r="AX123" s="373"/>
      <c r="AY123" s="373"/>
      <c r="AZ123" s="373"/>
      <c r="BA123" s="373"/>
      <c r="BB123" s="373"/>
      <c r="BC123" s="373"/>
      <c r="BD123" s="373"/>
    </row>
    <row r="124" spans="1:56" s="374" customFormat="1" ht="12" customHeight="1" x14ac:dyDescent="0.15">
      <c r="A124" s="379"/>
      <c r="B124" s="379"/>
      <c r="C124" s="379"/>
      <c r="D124" s="379"/>
      <c r="E124" s="379"/>
      <c r="F124" s="382"/>
      <c r="G124" s="377"/>
      <c r="H124" s="380"/>
      <c r="I124" s="380"/>
      <c r="J124" s="380"/>
      <c r="K124" s="380"/>
      <c r="L124" s="381"/>
      <c r="M124" s="375"/>
      <c r="N124" s="381"/>
      <c r="O124" s="381"/>
      <c r="S124" s="373"/>
      <c r="T124" s="373"/>
      <c r="U124" s="373"/>
      <c r="V124" s="373"/>
      <c r="W124" s="373"/>
      <c r="X124" s="373"/>
      <c r="Y124" s="373"/>
      <c r="Z124" s="373"/>
      <c r="AA124" s="373"/>
      <c r="AB124" s="373"/>
      <c r="AC124" s="373"/>
      <c r="AD124" s="373"/>
      <c r="AE124" s="373"/>
      <c r="AF124" s="373"/>
      <c r="AG124" s="373"/>
      <c r="AH124" s="373"/>
      <c r="AI124" s="373"/>
      <c r="AJ124" s="373"/>
      <c r="AK124" s="373"/>
      <c r="AL124" s="373"/>
      <c r="AM124" s="373"/>
      <c r="AN124" s="373"/>
      <c r="AO124" s="373"/>
      <c r="AP124" s="373"/>
      <c r="AQ124" s="373"/>
      <c r="AR124" s="373"/>
      <c r="AS124" s="373"/>
      <c r="AT124" s="373"/>
      <c r="AU124" s="373"/>
      <c r="AV124" s="373"/>
      <c r="AW124" s="373"/>
      <c r="AX124" s="373"/>
      <c r="AY124" s="373"/>
      <c r="AZ124" s="373"/>
      <c r="BA124" s="373"/>
      <c r="BB124" s="373"/>
      <c r="BC124" s="373"/>
      <c r="BD124" s="373"/>
    </row>
    <row r="125" spans="1:56" s="374" customFormat="1" ht="12" customHeight="1" x14ac:dyDescent="0.15">
      <c r="A125" s="379"/>
      <c r="B125" s="379"/>
      <c r="C125" s="379"/>
      <c r="D125" s="379"/>
      <c r="E125" s="379"/>
      <c r="F125" s="382"/>
      <c r="G125" s="377"/>
      <c r="H125" s="380"/>
      <c r="I125" s="380"/>
      <c r="J125" s="380"/>
      <c r="K125" s="380"/>
      <c r="L125" s="380"/>
      <c r="M125" s="375"/>
      <c r="N125" s="380"/>
      <c r="O125" s="380"/>
      <c r="S125" s="373"/>
      <c r="T125" s="373"/>
      <c r="U125" s="373"/>
      <c r="V125" s="373"/>
      <c r="W125" s="373"/>
      <c r="X125" s="373"/>
      <c r="Y125" s="373"/>
      <c r="Z125" s="373"/>
      <c r="AA125" s="373"/>
      <c r="AB125" s="373"/>
      <c r="AC125" s="373"/>
      <c r="AD125" s="373"/>
      <c r="AE125" s="373"/>
      <c r="AF125" s="373"/>
      <c r="AG125" s="373"/>
      <c r="AH125" s="373"/>
      <c r="AI125" s="373"/>
      <c r="AJ125" s="373"/>
      <c r="AK125" s="373"/>
      <c r="AL125" s="373"/>
      <c r="AM125" s="373"/>
      <c r="AN125" s="373"/>
      <c r="AO125" s="373"/>
      <c r="AP125" s="373"/>
      <c r="AQ125" s="373"/>
      <c r="AR125" s="373"/>
      <c r="AS125" s="373"/>
      <c r="AT125" s="373"/>
      <c r="AU125" s="373"/>
      <c r="AV125" s="373"/>
      <c r="AW125" s="373"/>
      <c r="AX125" s="373"/>
      <c r="AY125" s="373"/>
      <c r="AZ125" s="373"/>
      <c r="BA125" s="373"/>
      <c r="BB125" s="373"/>
      <c r="BC125" s="373"/>
      <c r="BD125" s="373"/>
    </row>
    <row r="126" spans="1:56" s="374" customFormat="1" x14ac:dyDescent="0.15">
      <c r="A126" s="379"/>
      <c r="B126" s="379"/>
      <c r="C126" s="379"/>
      <c r="D126" s="379"/>
      <c r="E126" s="379"/>
      <c r="F126" s="382"/>
      <c r="G126" s="377"/>
      <c r="H126" s="380"/>
      <c r="I126" s="380"/>
      <c r="J126" s="380"/>
      <c r="K126" s="380"/>
      <c r="L126" s="381"/>
      <c r="M126" s="375"/>
      <c r="N126" s="381"/>
      <c r="O126" s="381"/>
      <c r="S126" s="373"/>
      <c r="T126" s="373"/>
      <c r="U126" s="373"/>
      <c r="V126" s="373"/>
      <c r="W126" s="373"/>
      <c r="X126" s="373"/>
      <c r="Y126" s="373"/>
      <c r="Z126" s="373"/>
      <c r="AA126" s="373"/>
      <c r="AB126" s="373"/>
      <c r="AC126" s="373"/>
      <c r="AD126" s="373"/>
      <c r="AE126" s="373"/>
      <c r="AF126" s="373"/>
      <c r="AG126" s="373"/>
      <c r="AH126" s="373"/>
      <c r="AI126" s="373"/>
      <c r="AJ126" s="373"/>
      <c r="AK126" s="373"/>
      <c r="AL126" s="373"/>
      <c r="AM126" s="373"/>
      <c r="AN126" s="373"/>
      <c r="AO126" s="373"/>
      <c r="AP126" s="373"/>
      <c r="AQ126" s="373"/>
      <c r="AR126" s="373"/>
      <c r="AS126" s="373"/>
      <c r="AT126" s="373"/>
      <c r="AU126" s="373"/>
      <c r="AV126" s="373"/>
      <c r="AW126" s="373"/>
      <c r="AX126" s="373"/>
      <c r="AY126" s="373"/>
      <c r="AZ126" s="373"/>
      <c r="BA126" s="373"/>
      <c r="BB126" s="373"/>
      <c r="BC126" s="373"/>
      <c r="BD126" s="373"/>
    </row>
    <row r="127" spans="1:56" s="374" customFormat="1" x14ac:dyDescent="0.15">
      <c r="A127" s="379"/>
      <c r="B127" s="379"/>
      <c r="C127" s="379"/>
      <c r="D127" s="379"/>
      <c r="E127" s="379"/>
      <c r="F127" s="382"/>
      <c r="G127" s="377"/>
      <c r="H127" s="380"/>
      <c r="I127" s="380"/>
      <c r="J127" s="380"/>
      <c r="K127" s="380"/>
      <c r="L127" s="381"/>
      <c r="M127" s="375"/>
      <c r="N127" s="381"/>
      <c r="O127" s="381"/>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3"/>
      <c r="AY127" s="373"/>
      <c r="AZ127" s="373"/>
      <c r="BA127" s="373"/>
      <c r="BB127" s="373"/>
      <c r="BC127" s="373"/>
      <c r="BD127" s="373"/>
    </row>
    <row r="128" spans="1:56" s="374" customFormat="1" x14ac:dyDescent="0.15">
      <c r="A128" s="379"/>
      <c r="B128" s="379"/>
      <c r="C128" s="379"/>
      <c r="D128" s="379"/>
      <c r="E128" s="379"/>
      <c r="F128" s="382"/>
      <c r="G128" s="377"/>
      <c r="H128" s="380"/>
      <c r="I128" s="380"/>
      <c r="J128" s="380"/>
      <c r="K128" s="380"/>
      <c r="L128" s="381"/>
      <c r="M128" s="375"/>
      <c r="N128" s="381"/>
      <c r="O128" s="381"/>
      <c r="S128" s="373"/>
      <c r="T128" s="373"/>
      <c r="U128" s="373"/>
      <c r="V128" s="373"/>
      <c r="W128" s="373"/>
      <c r="X128" s="373"/>
      <c r="Y128" s="373"/>
      <c r="Z128" s="373"/>
      <c r="AA128" s="373"/>
      <c r="AB128" s="373"/>
      <c r="AC128" s="373"/>
      <c r="AD128" s="37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3"/>
      <c r="AY128" s="373"/>
      <c r="AZ128" s="373"/>
      <c r="BA128" s="373"/>
      <c r="BB128" s="373"/>
      <c r="BC128" s="373"/>
      <c r="BD128" s="373"/>
    </row>
    <row r="129" spans="1:56" s="374" customFormat="1" x14ac:dyDescent="0.15">
      <c r="A129" s="379"/>
      <c r="B129" s="379"/>
      <c r="C129" s="379"/>
      <c r="D129" s="379"/>
      <c r="E129" s="379"/>
      <c r="F129" s="382"/>
      <c r="G129" s="377"/>
      <c r="H129" s="380"/>
      <c r="I129" s="380"/>
      <c r="J129" s="380"/>
      <c r="K129" s="380"/>
      <c r="L129" s="381"/>
      <c r="M129" s="375"/>
      <c r="N129" s="381"/>
      <c r="O129" s="381"/>
      <c r="S129" s="373"/>
      <c r="T129" s="373"/>
      <c r="U129" s="373"/>
      <c r="V129" s="373"/>
      <c r="W129" s="373"/>
      <c r="X129" s="373"/>
      <c r="Y129" s="373"/>
      <c r="Z129" s="373"/>
      <c r="AA129" s="373"/>
      <c r="AB129" s="373"/>
      <c r="AC129" s="373"/>
      <c r="AD129" s="373"/>
      <c r="AE129" s="373"/>
      <c r="AF129" s="373"/>
      <c r="AG129" s="373"/>
      <c r="AH129" s="373"/>
      <c r="AI129" s="373"/>
      <c r="AJ129" s="373"/>
      <c r="AK129" s="373"/>
      <c r="AL129" s="373"/>
      <c r="AM129" s="373"/>
      <c r="AN129" s="373"/>
      <c r="AO129" s="373"/>
      <c r="AP129" s="373"/>
      <c r="AQ129" s="373"/>
      <c r="AR129" s="373"/>
      <c r="AS129" s="373"/>
      <c r="AT129" s="373"/>
      <c r="AU129" s="373"/>
      <c r="AV129" s="373"/>
      <c r="AW129" s="373"/>
      <c r="AX129" s="373"/>
      <c r="AY129" s="373"/>
      <c r="AZ129" s="373"/>
      <c r="BA129" s="373"/>
      <c r="BB129" s="373"/>
      <c r="BC129" s="373"/>
      <c r="BD129" s="373"/>
    </row>
    <row r="130" spans="1:56" s="374" customFormat="1" x14ac:dyDescent="0.15">
      <c r="A130" s="379"/>
      <c r="B130" s="379"/>
      <c r="C130" s="379"/>
      <c r="D130" s="379"/>
      <c r="E130" s="379"/>
      <c r="F130" s="382"/>
      <c r="G130" s="377"/>
      <c r="H130" s="380"/>
      <c r="I130" s="380"/>
      <c r="J130" s="380"/>
      <c r="K130" s="380"/>
      <c r="L130" s="381"/>
      <c r="M130" s="375"/>
      <c r="N130" s="381"/>
      <c r="O130" s="381"/>
      <c r="S130" s="373"/>
      <c r="T130" s="373"/>
      <c r="U130" s="373"/>
      <c r="V130" s="373"/>
      <c r="W130" s="373"/>
      <c r="X130" s="373"/>
      <c r="Y130" s="373"/>
      <c r="Z130" s="373"/>
      <c r="AA130" s="373"/>
      <c r="AB130" s="373"/>
      <c r="AC130" s="373"/>
      <c r="AD130" s="373"/>
      <c r="AE130" s="373"/>
      <c r="AF130" s="373"/>
      <c r="AG130" s="373"/>
      <c r="AH130" s="373"/>
      <c r="AI130" s="373"/>
      <c r="AJ130" s="373"/>
      <c r="AK130" s="373"/>
      <c r="AL130" s="373"/>
      <c r="AM130" s="373"/>
      <c r="AN130" s="373"/>
      <c r="AO130" s="373"/>
      <c r="AP130" s="373"/>
      <c r="AQ130" s="373"/>
      <c r="AR130" s="373"/>
      <c r="AS130" s="373"/>
      <c r="AT130" s="373"/>
      <c r="AU130" s="373"/>
      <c r="AV130" s="373"/>
      <c r="AW130" s="373"/>
      <c r="AX130" s="373"/>
      <c r="AY130" s="373"/>
      <c r="AZ130" s="373"/>
      <c r="BA130" s="373"/>
      <c r="BB130" s="373"/>
      <c r="BC130" s="373"/>
      <c r="BD130" s="373"/>
    </row>
    <row r="131" spans="1:56" s="374" customFormat="1" x14ac:dyDescent="0.15">
      <c r="A131" s="379"/>
      <c r="B131" s="379"/>
      <c r="C131" s="379"/>
      <c r="D131" s="379"/>
      <c r="E131" s="379"/>
      <c r="F131" s="382"/>
      <c r="G131" s="377"/>
      <c r="H131" s="380"/>
      <c r="I131" s="380"/>
      <c r="J131" s="380"/>
      <c r="K131" s="380"/>
      <c r="L131" s="381"/>
      <c r="M131" s="375"/>
      <c r="N131" s="381"/>
      <c r="O131" s="381"/>
      <c r="S131" s="373"/>
      <c r="T131" s="373"/>
      <c r="U131" s="373"/>
      <c r="V131" s="373"/>
      <c r="W131" s="373"/>
      <c r="X131" s="373"/>
      <c r="Y131" s="373"/>
      <c r="Z131" s="373"/>
      <c r="AA131" s="373"/>
      <c r="AB131" s="373"/>
      <c r="AC131" s="373"/>
      <c r="AD131" s="373"/>
      <c r="AE131" s="373"/>
      <c r="AF131" s="373"/>
      <c r="AG131" s="373"/>
      <c r="AH131" s="373"/>
      <c r="AI131" s="373"/>
      <c r="AJ131" s="373"/>
      <c r="AK131" s="373"/>
      <c r="AL131" s="373"/>
      <c r="AM131" s="373"/>
      <c r="AN131" s="373"/>
      <c r="AO131" s="373"/>
      <c r="AP131" s="373"/>
      <c r="AQ131" s="373"/>
      <c r="AR131" s="373"/>
      <c r="AS131" s="373"/>
      <c r="AT131" s="373"/>
      <c r="AU131" s="373"/>
      <c r="AV131" s="373"/>
      <c r="AW131" s="373"/>
      <c r="AX131" s="373"/>
      <c r="AY131" s="373"/>
      <c r="AZ131" s="373"/>
      <c r="BA131" s="373"/>
      <c r="BB131" s="373"/>
      <c r="BC131" s="373"/>
      <c r="BD131" s="373"/>
    </row>
    <row r="132" spans="1:56" s="374" customFormat="1" x14ac:dyDescent="0.15">
      <c r="A132" s="379"/>
      <c r="B132" s="379"/>
      <c r="C132" s="379"/>
      <c r="D132" s="379"/>
      <c r="E132" s="379"/>
      <c r="F132" s="382"/>
      <c r="G132" s="377"/>
      <c r="H132" s="380"/>
      <c r="I132" s="380"/>
      <c r="J132" s="380"/>
      <c r="K132" s="380"/>
      <c r="L132" s="381"/>
      <c r="M132" s="375"/>
      <c r="N132" s="381"/>
      <c r="O132" s="381"/>
      <c r="S132" s="373"/>
      <c r="T132" s="373"/>
      <c r="U132" s="373"/>
      <c r="V132" s="373"/>
      <c r="W132" s="373"/>
      <c r="X132" s="373"/>
      <c r="Y132" s="373"/>
      <c r="Z132" s="373"/>
      <c r="AA132" s="373"/>
      <c r="AB132" s="373"/>
      <c r="AC132" s="373"/>
      <c r="AD132" s="373"/>
      <c r="AE132" s="373"/>
      <c r="AF132" s="373"/>
      <c r="AG132" s="373"/>
      <c r="AH132" s="373"/>
      <c r="AI132" s="373"/>
      <c r="AJ132" s="373"/>
      <c r="AK132" s="373"/>
      <c r="AL132" s="373"/>
      <c r="AM132" s="373"/>
      <c r="AN132" s="373"/>
      <c r="AO132" s="373"/>
      <c r="AP132" s="373"/>
      <c r="AQ132" s="373"/>
      <c r="AR132" s="373"/>
      <c r="AS132" s="373"/>
      <c r="AT132" s="373"/>
      <c r="AU132" s="373"/>
      <c r="AV132" s="373"/>
      <c r="AW132" s="373"/>
      <c r="AX132" s="373"/>
      <c r="AY132" s="373"/>
      <c r="AZ132" s="373"/>
      <c r="BA132" s="373"/>
      <c r="BB132" s="373"/>
      <c r="BC132" s="373"/>
      <c r="BD132" s="373"/>
    </row>
    <row r="133" spans="1:56" s="374" customFormat="1" x14ac:dyDescent="0.15">
      <c r="A133" s="379"/>
      <c r="B133" s="379"/>
      <c r="C133" s="379"/>
      <c r="D133" s="379"/>
      <c r="E133" s="379"/>
      <c r="F133" s="382"/>
      <c r="G133" s="377"/>
      <c r="H133" s="380"/>
      <c r="I133" s="380"/>
      <c r="J133" s="380"/>
      <c r="K133" s="380"/>
      <c r="L133" s="380"/>
      <c r="M133" s="375"/>
      <c r="N133" s="380"/>
      <c r="O133" s="380"/>
      <c r="S133" s="373"/>
      <c r="T133" s="373"/>
      <c r="U133" s="373"/>
      <c r="V133" s="373"/>
      <c r="W133" s="373"/>
      <c r="X133" s="373"/>
      <c r="Y133" s="373"/>
      <c r="Z133" s="373"/>
      <c r="AA133" s="373"/>
      <c r="AB133" s="373"/>
      <c r="AC133" s="373"/>
      <c r="AD133" s="373"/>
      <c r="AE133" s="373"/>
      <c r="AF133" s="373"/>
      <c r="AG133" s="373"/>
      <c r="AH133" s="373"/>
      <c r="AI133" s="373"/>
      <c r="AJ133" s="373"/>
      <c r="AK133" s="373"/>
      <c r="AL133" s="373"/>
      <c r="AM133" s="373"/>
      <c r="AN133" s="373"/>
      <c r="AO133" s="373"/>
      <c r="AP133" s="373"/>
      <c r="AQ133" s="373"/>
      <c r="AR133" s="373"/>
      <c r="AS133" s="373"/>
      <c r="AT133" s="373"/>
      <c r="AU133" s="373"/>
      <c r="AV133" s="373"/>
      <c r="AW133" s="373"/>
      <c r="AX133" s="373"/>
      <c r="AY133" s="373"/>
      <c r="AZ133" s="373"/>
      <c r="BA133" s="373"/>
      <c r="BB133" s="373"/>
      <c r="BC133" s="373"/>
      <c r="BD133" s="373"/>
    </row>
    <row r="134" spans="1:56" s="374" customFormat="1" x14ac:dyDescent="0.15">
      <c r="A134" s="379"/>
      <c r="B134" s="379"/>
      <c r="C134" s="379"/>
      <c r="D134" s="379"/>
      <c r="E134" s="379"/>
      <c r="F134" s="382"/>
      <c r="G134" s="377"/>
      <c r="H134" s="380"/>
      <c r="I134" s="380"/>
      <c r="J134" s="380"/>
      <c r="K134" s="380"/>
      <c r="L134" s="380"/>
      <c r="M134" s="375"/>
      <c r="N134" s="380"/>
      <c r="O134" s="380"/>
      <c r="S134" s="373"/>
      <c r="T134" s="373"/>
      <c r="U134" s="373"/>
      <c r="V134" s="373"/>
      <c r="W134" s="373"/>
      <c r="X134" s="373"/>
      <c r="Y134" s="373"/>
      <c r="Z134" s="373"/>
      <c r="AA134" s="373"/>
      <c r="AB134" s="373"/>
      <c r="AC134" s="373"/>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373"/>
      <c r="AY134" s="373"/>
      <c r="AZ134" s="373"/>
      <c r="BA134" s="373"/>
      <c r="BB134" s="373"/>
      <c r="BC134" s="373"/>
      <c r="BD134" s="373"/>
    </row>
    <row r="135" spans="1:56" s="374" customFormat="1" x14ac:dyDescent="0.15">
      <c r="A135" s="379"/>
      <c r="B135" s="379"/>
      <c r="C135" s="379"/>
      <c r="D135" s="379"/>
      <c r="E135" s="379"/>
      <c r="F135" s="382"/>
      <c r="G135" s="377"/>
      <c r="H135" s="380"/>
      <c r="I135" s="380"/>
      <c r="J135" s="380"/>
      <c r="K135" s="380"/>
      <c r="L135" s="380"/>
      <c r="M135" s="375"/>
      <c r="N135" s="380"/>
      <c r="O135" s="380"/>
      <c r="S135" s="373"/>
      <c r="T135" s="373"/>
      <c r="U135" s="373"/>
      <c r="V135" s="373"/>
      <c r="W135" s="373"/>
      <c r="X135" s="373"/>
      <c r="Y135" s="373"/>
      <c r="Z135" s="373"/>
      <c r="AA135" s="373"/>
      <c r="AB135" s="373"/>
      <c r="AC135" s="373"/>
      <c r="AD135" s="373"/>
      <c r="AE135" s="373"/>
      <c r="AF135" s="373"/>
      <c r="AG135" s="373"/>
      <c r="AH135" s="373"/>
      <c r="AI135" s="373"/>
      <c r="AJ135" s="373"/>
      <c r="AK135" s="373"/>
      <c r="AL135" s="373"/>
      <c r="AM135" s="373"/>
      <c r="AN135" s="373"/>
      <c r="AO135" s="373"/>
      <c r="AP135" s="373"/>
      <c r="AQ135" s="373"/>
      <c r="AR135" s="373"/>
      <c r="AS135" s="373"/>
      <c r="AT135" s="373"/>
      <c r="AU135" s="373"/>
      <c r="AV135" s="373"/>
      <c r="AW135" s="373"/>
      <c r="AX135" s="373"/>
      <c r="AY135" s="373"/>
      <c r="AZ135" s="373"/>
      <c r="BA135" s="373"/>
      <c r="BB135" s="373"/>
      <c r="BC135" s="373"/>
      <c r="BD135" s="373"/>
    </row>
    <row r="136" spans="1:56" s="374" customFormat="1" x14ac:dyDescent="0.15">
      <c r="A136" s="379"/>
      <c r="B136" s="379"/>
      <c r="C136" s="379"/>
      <c r="D136" s="379"/>
      <c r="E136" s="379"/>
      <c r="F136" s="382"/>
      <c r="G136" s="377"/>
      <c r="H136" s="380"/>
      <c r="I136" s="380"/>
      <c r="J136" s="380"/>
      <c r="K136" s="380"/>
      <c r="M136" s="375"/>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3"/>
      <c r="AY136" s="373"/>
      <c r="AZ136" s="373"/>
      <c r="BA136" s="373"/>
      <c r="BB136" s="373"/>
      <c r="BC136" s="373"/>
      <c r="BD136" s="373"/>
    </row>
    <row r="137" spans="1:56" s="374" customFormat="1" x14ac:dyDescent="0.15">
      <c r="A137" s="379"/>
      <c r="B137" s="379"/>
      <c r="C137" s="379"/>
      <c r="D137" s="379"/>
      <c r="E137" s="379"/>
      <c r="F137" s="382"/>
      <c r="G137" s="377"/>
      <c r="H137" s="380"/>
      <c r="I137" s="380"/>
      <c r="J137" s="380"/>
      <c r="K137" s="380"/>
      <c r="M137" s="375"/>
      <c r="S137" s="373"/>
      <c r="T137" s="373"/>
      <c r="U137" s="373"/>
      <c r="V137" s="373"/>
      <c r="W137" s="373"/>
      <c r="X137" s="373"/>
      <c r="Y137" s="373"/>
      <c r="Z137" s="373"/>
      <c r="AA137" s="373"/>
      <c r="AB137" s="373"/>
      <c r="AC137" s="373"/>
      <c r="AD137" s="373"/>
      <c r="AE137" s="373"/>
      <c r="AF137" s="373"/>
      <c r="AG137" s="373"/>
      <c r="AH137" s="373"/>
      <c r="AI137" s="373"/>
      <c r="AJ137" s="373"/>
      <c r="AK137" s="373"/>
      <c r="AL137" s="373"/>
      <c r="AM137" s="373"/>
      <c r="AN137" s="373"/>
      <c r="AO137" s="373"/>
      <c r="AP137" s="373"/>
      <c r="AQ137" s="373"/>
      <c r="AR137" s="373"/>
      <c r="AS137" s="373"/>
      <c r="AT137" s="373"/>
      <c r="AU137" s="373"/>
      <c r="AV137" s="373"/>
      <c r="AW137" s="373"/>
      <c r="AX137" s="373"/>
      <c r="AY137" s="373"/>
      <c r="AZ137" s="373"/>
      <c r="BA137" s="373"/>
      <c r="BB137" s="373"/>
      <c r="BC137" s="373"/>
      <c r="BD137" s="373"/>
    </row>
    <row r="138" spans="1:56" s="374" customFormat="1" x14ac:dyDescent="0.15">
      <c r="A138" s="379"/>
      <c r="B138" s="379"/>
      <c r="C138" s="379"/>
      <c r="D138" s="379"/>
      <c r="E138" s="379"/>
      <c r="F138" s="382"/>
      <c r="G138" s="377"/>
      <c r="H138" s="380"/>
      <c r="I138" s="380"/>
      <c r="J138" s="380"/>
      <c r="K138" s="380"/>
      <c r="M138" s="375"/>
      <c r="S138" s="373"/>
      <c r="T138" s="373"/>
      <c r="U138" s="373"/>
      <c r="V138" s="373"/>
      <c r="W138" s="373"/>
      <c r="X138" s="373"/>
      <c r="Y138" s="373"/>
      <c r="Z138" s="373"/>
      <c r="AA138" s="373"/>
      <c r="AB138" s="373"/>
      <c r="AC138" s="373"/>
      <c r="AD138" s="373"/>
      <c r="AE138" s="373"/>
      <c r="AF138" s="373"/>
      <c r="AG138" s="373"/>
      <c r="AH138" s="373"/>
      <c r="AI138" s="373"/>
      <c r="AJ138" s="373"/>
      <c r="AK138" s="373"/>
      <c r="AL138" s="373"/>
      <c r="AM138" s="373"/>
      <c r="AN138" s="373"/>
      <c r="AO138" s="373"/>
      <c r="AP138" s="373"/>
      <c r="AQ138" s="373"/>
      <c r="AR138" s="373"/>
      <c r="AS138" s="373"/>
      <c r="AT138" s="373"/>
      <c r="AU138" s="373"/>
      <c r="AV138" s="373"/>
      <c r="AW138" s="373"/>
      <c r="AX138" s="373"/>
      <c r="AY138" s="373"/>
      <c r="AZ138" s="373"/>
      <c r="BA138" s="373"/>
      <c r="BB138" s="373"/>
      <c r="BC138" s="373"/>
      <c r="BD138" s="373"/>
    </row>
    <row r="139" spans="1:56" s="374" customFormat="1" x14ac:dyDescent="0.15">
      <c r="A139" s="379"/>
      <c r="B139" s="379"/>
      <c r="C139" s="379"/>
      <c r="D139" s="379"/>
      <c r="E139" s="379"/>
      <c r="F139" s="382"/>
      <c r="G139" s="377"/>
      <c r="H139" s="380"/>
      <c r="I139" s="380"/>
      <c r="J139" s="380"/>
      <c r="K139" s="380"/>
      <c r="L139" s="375"/>
      <c r="M139" s="375"/>
      <c r="N139" s="375"/>
      <c r="O139" s="375"/>
      <c r="S139" s="373"/>
      <c r="T139" s="373"/>
      <c r="U139" s="373"/>
      <c r="V139" s="373"/>
      <c r="W139" s="373"/>
      <c r="X139" s="373"/>
      <c r="Y139" s="373"/>
      <c r="Z139" s="373"/>
      <c r="AA139" s="373"/>
      <c r="AB139" s="373"/>
      <c r="AC139" s="373"/>
      <c r="AD139" s="373"/>
      <c r="AE139" s="373"/>
      <c r="AF139" s="373"/>
      <c r="AG139" s="373"/>
      <c r="AH139" s="373"/>
      <c r="AI139" s="373"/>
      <c r="AJ139" s="373"/>
      <c r="AK139" s="373"/>
      <c r="AL139" s="373"/>
      <c r="AM139" s="373"/>
      <c r="AN139" s="373"/>
      <c r="AO139" s="373"/>
      <c r="AP139" s="373"/>
      <c r="AQ139" s="373"/>
      <c r="AR139" s="373"/>
      <c r="AS139" s="373"/>
      <c r="AT139" s="373"/>
      <c r="AU139" s="373"/>
      <c r="AV139" s="373"/>
      <c r="AW139" s="373"/>
      <c r="AX139" s="373"/>
      <c r="AY139" s="373"/>
      <c r="AZ139" s="373"/>
      <c r="BA139" s="373"/>
      <c r="BB139" s="373"/>
      <c r="BC139" s="373"/>
      <c r="BD139" s="373"/>
    </row>
    <row r="140" spans="1:56" s="374" customFormat="1" x14ac:dyDescent="0.15">
      <c r="A140" s="379"/>
      <c r="B140" s="379"/>
      <c r="C140" s="379"/>
      <c r="D140" s="379"/>
      <c r="E140" s="379"/>
      <c r="F140" s="378"/>
      <c r="G140" s="377"/>
      <c r="H140" s="381"/>
      <c r="I140" s="381"/>
      <c r="J140" s="381"/>
      <c r="K140" s="381"/>
      <c r="L140" s="375"/>
      <c r="M140" s="375"/>
      <c r="N140" s="375"/>
      <c r="O140" s="375"/>
      <c r="S140" s="373"/>
      <c r="T140" s="373"/>
      <c r="U140" s="373"/>
      <c r="V140" s="373"/>
      <c r="W140" s="373"/>
      <c r="X140" s="373"/>
      <c r="Y140" s="373"/>
      <c r="Z140" s="373"/>
      <c r="AA140" s="373"/>
      <c r="AB140" s="373"/>
      <c r="AC140" s="373"/>
      <c r="AD140" s="373"/>
      <c r="AE140" s="373"/>
      <c r="AF140" s="373"/>
      <c r="AG140" s="373"/>
      <c r="AH140" s="373"/>
      <c r="AI140" s="373"/>
      <c r="AJ140" s="373"/>
      <c r="AK140" s="373"/>
      <c r="AL140" s="373"/>
      <c r="AM140" s="373"/>
      <c r="AN140" s="373"/>
      <c r="AO140" s="373"/>
      <c r="AP140" s="373"/>
      <c r="AQ140" s="373"/>
      <c r="AR140" s="373"/>
      <c r="AS140" s="373"/>
      <c r="AT140" s="373"/>
      <c r="AU140" s="373"/>
      <c r="AV140" s="373"/>
      <c r="AW140" s="373"/>
      <c r="AX140" s="373"/>
      <c r="AY140" s="373"/>
      <c r="AZ140" s="373"/>
      <c r="BA140" s="373"/>
      <c r="BB140" s="373"/>
      <c r="BC140" s="373"/>
      <c r="BD140" s="373"/>
    </row>
    <row r="141" spans="1:56" s="374" customFormat="1" x14ac:dyDescent="0.15">
      <c r="A141" s="379"/>
      <c r="B141" s="379"/>
      <c r="C141" s="379"/>
      <c r="D141" s="379"/>
      <c r="E141" s="379"/>
      <c r="F141" s="378"/>
      <c r="G141" s="377"/>
      <c r="H141" s="380"/>
      <c r="I141" s="380"/>
      <c r="J141" s="380"/>
      <c r="K141" s="380"/>
      <c r="L141" s="375"/>
      <c r="M141" s="375"/>
      <c r="N141" s="375"/>
      <c r="O141" s="375"/>
      <c r="S141" s="373"/>
      <c r="T141" s="373"/>
      <c r="U141" s="373"/>
      <c r="V141" s="373"/>
      <c r="W141" s="373"/>
      <c r="X141" s="373"/>
      <c r="Y141" s="373"/>
      <c r="Z141" s="373"/>
      <c r="AA141" s="373"/>
      <c r="AB141" s="373"/>
      <c r="AC141" s="373"/>
      <c r="AD141" s="373"/>
      <c r="AE141" s="373"/>
      <c r="AF141" s="373"/>
      <c r="AG141" s="373"/>
      <c r="AH141" s="373"/>
      <c r="AI141" s="373"/>
      <c r="AJ141" s="373"/>
      <c r="AK141" s="373"/>
      <c r="AL141" s="373"/>
      <c r="AM141" s="373"/>
      <c r="AN141" s="373"/>
      <c r="AO141" s="373"/>
      <c r="AP141" s="373"/>
      <c r="AQ141" s="373"/>
      <c r="AR141" s="373"/>
      <c r="AS141" s="373"/>
      <c r="AT141" s="373"/>
      <c r="AU141" s="373"/>
      <c r="AV141" s="373"/>
      <c r="AW141" s="373"/>
      <c r="AX141" s="373"/>
      <c r="AY141" s="373"/>
      <c r="AZ141" s="373"/>
      <c r="BA141" s="373"/>
      <c r="BB141" s="373"/>
      <c r="BC141" s="373"/>
      <c r="BD141" s="373"/>
    </row>
    <row r="142" spans="1:56" s="374" customFormat="1" x14ac:dyDescent="0.15">
      <c r="A142" s="379"/>
      <c r="B142" s="379"/>
      <c r="C142" s="379"/>
      <c r="D142" s="379"/>
      <c r="E142" s="379"/>
      <c r="F142" s="378"/>
      <c r="G142" s="377"/>
      <c r="H142" s="381"/>
      <c r="I142" s="381"/>
      <c r="J142" s="381"/>
      <c r="K142" s="381"/>
      <c r="L142" s="375"/>
      <c r="M142" s="375"/>
      <c r="N142" s="375"/>
      <c r="O142" s="375"/>
      <c r="S142" s="373"/>
      <c r="T142" s="373"/>
      <c r="U142" s="373"/>
      <c r="V142" s="373"/>
      <c r="W142" s="373"/>
      <c r="X142" s="373"/>
      <c r="Y142" s="373"/>
      <c r="Z142" s="373"/>
      <c r="AA142" s="373"/>
      <c r="AB142" s="373"/>
      <c r="AC142" s="373"/>
      <c r="AD142" s="373"/>
      <c r="AE142" s="373"/>
      <c r="AF142" s="373"/>
      <c r="AG142" s="373"/>
      <c r="AH142" s="373"/>
      <c r="AI142" s="373"/>
      <c r="AJ142" s="373"/>
      <c r="AK142" s="373"/>
      <c r="AL142" s="373"/>
      <c r="AM142" s="373"/>
      <c r="AN142" s="373"/>
      <c r="AO142" s="373"/>
      <c r="AP142" s="373"/>
      <c r="AQ142" s="373"/>
      <c r="AR142" s="373"/>
      <c r="AS142" s="373"/>
      <c r="AT142" s="373"/>
      <c r="AU142" s="373"/>
      <c r="AV142" s="373"/>
      <c r="AW142" s="373"/>
      <c r="AX142" s="373"/>
      <c r="AY142" s="373"/>
      <c r="AZ142" s="373"/>
      <c r="BA142" s="373"/>
      <c r="BB142" s="373"/>
      <c r="BC142" s="373"/>
      <c r="BD142" s="373"/>
    </row>
    <row r="143" spans="1:56" s="374" customFormat="1" x14ac:dyDescent="0.15">
      <c r="A143" s="379"/>
      <c r="B143" s="379"/>
      <c r="C143" s="379"/>
      <c r="D143" s="379"/>
      <c r="E143" s="379"/>
      <c r="F143" s="378"/>
      <c r="G143" s="377"/>
      <c r="H143" s="381"/>
      <c r="I143" s="381"/>
      <c r="J143" s="381"/>
      <c r="K143" s="381"/>
      <c r="L143" s="375"/>
      <c r="M143" s="375"/>
      <c r="N143" s="375"/>
      <c r="O143" s="375"/>
      <c r="S143" s="373"/>
      <c r="T143" s="373"/>
      <c r="U143" s="373"/>
      <c r="V143" s="373"/>
      <c r="W143" s="373"/>
      <c r="X143" s="373"/>
      <c r="Y143" s="373"/>
      <c r="Z143" s="373"/>
      <c r="AA143" s="373"/>
      <c r="AB143" s="373"/>
      <c r="AC143" s="373"/>
      <c r="AD143" s="373"/>
      <c r="AE143" s="373"/>
      <c r="AF143" s="373"/>
      <c r="AG143" s="373"/>
      <c r="AH143" s="373"/>
      <c r="AI143" s="373"/>
      <c r="AJ143" s="373"/>
      <c r="AK143" s="373"/>
      <c r="AL143" s="373"/>
      <c r="AM143" s="373"/>
      <c r="AN143" s="373"/>
      <c r="AO143" s="373"/>
      <c r="AP143" s="373"/>
      <c r="AQ143" s="373"/>
      <c r="AR143" s="373"/>
      <c r="AS143" s="373"/>
      <c r="AT143" s="373"/>
      <c r="AU143" s="373"/>
      <c r="AV143" s="373"/>
      <c r="AW143" s="373"/>
      <c r="AX143" s="373"/>
      <c r="AY143" s="373"/>
      <c r="AZ143" s="373"/>
      <c r="BA143" s="373"/>
      <c r="BB143" s="373"/>
      <c r="BC143" s="373"/>
      <c r="BD143" s="373"/>
    </row>
    <row r="144" spans="1:56" s="374" customFormat="1" x14ac:dyDescent="0.15">
      <c r="A144" s="379"/>
      <c r="B144" s="379"/>
      <c r="C144" s="379"/>
      <c r="D144" s="379"/>
      <c r="E144" s="379"/>
      <c r="F144" s="378"/>
      <c r="G144" s="377"/>
      <c r="H144" s="381"/>
      <c r="I144" s="381"/>
      <c r="J144" s="381"/>
      <c r="K144" s="381"/>
      <c r="L144" s="375"/>
      <c r="M144" s="375"/>
      <c r="N144" s="375"/>
      <c r="O144" s="375"/>
      <c r="S144" s="373"/>
      <c r="T144" s="373"/>
      <c r="U144" s="373"/>
      <c r="V144" s="373"/>
      <c r="W144" s="373"/>
      <c r="X144" s="373"/>
      <c r="Y144" s="373"/>
      <c r="Z144" s="373"/>
      <c r="AA144" s="373"/>
      <c r="AB144" s="373"/>
      <c r="AC144" s="373"/>
      <c r="AD144" s="373"/>
      <c r="AE144" s="373"/>
      <c r="AF144" s="373"/>
      <c r="AG144" s="373"/>
      <c r="AH144" s="373"/>
      <c r="AI144" s="373"/>
      <c r="AJ144" s="373"/>
      <c r="AK144" s="373"/>
      <c r="AL144" s="373"/>
      <c r="AM144" s="373"/>
      <c r="AN144" s="373"/>
      <c r="AO144" s="373"/>
      <c r="AP144" s="373"/>
      <c r="AQ144" s="373"/>
      <c r="AR144" s="373"/>
      <c r="AS144" s="373"/>
      <c r="AT144" s="373"/>
      <c r="AU144" s="373"/>
      <c r="AV144" s="373"/>
      <c r="AW144" s="373"/>
      <c r="AX144" s="373"/>
      <c r="AY144" s="373"/>
      <c r="AZ144" s="373"/>
      <c r="BA144" s="373"/>
      <c r="BB144" s="373"/>
      <c r="BC144" s="373"/>
      <c r="BD144" s="373"/>
    </row>
    <row r="145" spans="1:56" s="374" customFormat="1" x14ac:dyDescent="0.15">
      <c r="A145" s="379"/>
      <c r="B145" s="379"/>
      <c r="C145" s="379"/>
      <c r="D145" s="379"/>
      <c r="E145" s="379"/>
      <c r="F145" s="378"/>
      <c r="G145" s="377"/>
      <c r="H145" s="381"/>
      <c r="I145" s="381"/>
      <c r="J145" s="381"/>
      <c r="K145" s="381"/>
      <c r="L145" s="375"/>
      <c r="M145" s="375"/>
      <c r="N145" s="375"/>
      <c r="O145" s="375"/>
      <c r="S145" s="373"/>
      <c r="T145" s="373"/>
      <c r="U145" s="373"/>
      <c r="V145" s="373"/>
      <c r="W145" s="373"/>
      <c r="X145" s="373"/>
      <c r="Y145" s="373"/>
      <c r="Z145" s="373"/>
      <c r="AA145" s="373"/>
      <c r="AB145" s="373"/>
      <c r="AC145" s="373"/>
      <c r="AD145" s="373"/>
      <c r="AE145" s="373"/>
      <c r="AF145" s="373"/>
      <c r="AG145" s="373"/>
      <c r="AH145" s="373"/>
      <c r="AI145" s="373"/>
      <c r="AJ145" s="373"/>
      <c r="AK145" s="373"/>
      <c r="AL145" s="373"/>
      <c r="AM145" s="373"/>
      <c r="AN145" s="373"/>
      <c r="AO145" s="373"/>
      <c r="AP145" s="373"/>
      <c r="AQ145" s="373"/>
      <c r="AR145" s="373"/>
      <c r="AS145" s="373"/>
      <c r="AT145" s="373"/>
      <c r="AU145" s="373"/>
      <c r="AV145" s="373"/>
      <c r="AW145" s="373"/>
      <c r="AX145" s="373"/>
      <c r="AY145" s="373"/>
      <c r="AZ145" s="373"/>
      <c r="BA145" s="373"/>
      <c r="BB145" s="373"/>
      <c r="BC145" s="373"/>
      <c r="BD145" s="373"/>
    </row>
    <row r="146" spans="1:56" s="374" customFormat="1" x14ac:dyDescent="0.15">
      <c r="A146" s="379"/>
      <c r="B146" s="379"/>
      <c r="C146" s="379"/>
      <c r="D146" s="379"/>
      <c r="E146" s="379"/>
      <c r="F146" s="378"/>
      <c r="G146" s="377"/>
      <c r="H146" s="381"/>
      <c r="I146" s="381"/>
      <c r="J146" s="381"/>
      <c r="K146" s="381"/>
      <c r="L146" s="375"/>
      <c r="M146" s="375"/>
      <c r="N146" s="375"/>
      <c r="O146" s="375"/>
      <c r="S146" s="373"/>
      <c r="T146" s="373"/>
      <c r="U146" s="373"/>
      <c r="V146" s="373"/>
      <c r="W146" s="373"/>
      <c r="X146" s="373"/>
      <c r="Y146" s="373"/>
      <c r="Z146" s="373"/>
      <c r="AA146" s="373"/>
      <c r="AB146" s="373"/>
      <c r="AC146" s="373"/>
      <c r="AD146" s="373"/>
      <c r="AE146" s="373"/>
      <c r="AF146" s="373"/>
      <c r="AG146" s="373"/>
      <c r="AH146" s="373"/>
      <c r="AI146" s="373"/>
      <c r="AJ146" s="373"/>
      <c r="AK146" s="373"/>
      <c r="AL146" s="373"/>
      <c r="AM146" s="373"/>
      <c r="AN146" s="373"/>
      <c r="AO146" s="373"/>
      <c r="AP146" s="373"/>
      <c r="AQ146" s="373"/>
      <c r="AR146" s="373"/>
      <c r="AS146" s="373"/>
      <c r="AT146" s="373"/>
      <c r="AU146" s="373"/>
      <c r="AV146" s="373"/>
      <c r="AW146" s="373"/>
      <c r="AX146" s="373"/>
      <c r="AY146" s="373"/>
      <c r="AZ146" s="373"/>
      <c r="BA146" s="373"/>
      <c r="BB146" s="373"/>
      <c r="BC146" s="373"/>
      <c r="BD146" s="373"/>
    </row>
    <row r="147" spans="1:56" s="374" customFormat="1" x14ac:dyDescent="0.15">
      <c r="A147" s="379"/>
      <c r="B147" s="379"/>
      <c r="C147" s="379"/>
      <c r="D147" s="379"/>
      <c r="E147" s="379"/>
      <c r="F147" s="378"/>
      <c r="G147" s="377"/>
      <c r="H147" s="381"/>
      <c r="I147" s="381"/>
      <c r="J147" s="381"/>
      <c r="K147" s="381"/>
      <c r="L147" s="375"/>
      <c r="M147" s="375"/>
      <c r="N147" s="375"/>
      <c r="O147" s="375"/>
      <c r="S147" s="373"/>
      <c r="T147" s="373"/>
      <c r="U147" s="373"/>
      <c r="V147" s="373"/>
      <c r="W147" s="373"/>
      <c r="X147" s="373"/>
      <c r="Y147" s="373"/>
      <c r="Z147" s="373"/>
      <c r="AA147" s="373"/>
      <c r="AB147" s="373"/>
      <c r="AC147" s="373"/>
      <c r="AD147" s="373"/>
      <c r="AE147" s="373"/>
      <c r="AF147" s="373"/>
      <c r="AG147" s="373"/>
      <c r="AH147" s="373"/>
      <c r="AI147" s="373"/>
      <c r="AJ147" s="373"/>
      <c r="AK147" s="373"/>
      <c r="AL147" s="373"/>
      <c r="AM147" s="373"/>
      <c r="AN147" s="373"/>
      <c r="AO147" s="373"/>
      <c r="AP147" s="373"/>
      <c r="AQ147" s="373"/>
      <c r="AR147" s="373"/>
      <c r="AS147" s="373"/>
      <c r="AT147" s="373"/>
      <c r="AU147" s="373"/>
      <c r="AV147" s="373"/>
      <c r="AW147" s="373"/>
      <c r="AX147" s="373"/>
      <c r="AY147" s="373"/>
      <c r="AZ147" s="373"/>
      <c r="BA147" s="373"/>
      <c r="BB147" s="373"/>
      <c r="BC147" s="373"/>
      <c r="BD147" s="373"/>
    </row>
    <row r="148" spans="1:56" s="374" customFormat="1" x14ac:dyDescent="0.15">
      <c r="A148" s="379"/>
      <c r="B148" s="379"/>
      <c r="C148" s="379"/>
      <c r="D148" s="379"/>
      <c r="E148" s="379"/>
      <c r="F148" s="378"/>
      <c r="G148" s="377"/>
      <c r="H148" s="381"/>
      <c r="I148" s="381"/>
      <c r="J148" s="381"/>
      <c r="K148" s="381"/>
      <c r="L148" s="375"/>
      <c r="M148" s="375"/>
      <c r="N148" s="375"/>
      <c r="O148" s="375"/>
      <c r="S148" s="373"/>
      <c r="T148" s="373"/>
      <c r="U148" s="373"/>
      <c r="V148" s="373"/>
      <c r="W148" s="373"/>
      <c r="X148" s="373"/>
      <c r="Y148" s="373"/>
      <c r="Z148" s="373"/>
      <c r="AA148" s="373"/>
      <c r="AB148" s="373"/>
      <c r="AC148" s="373"/>
      <c r="AD148" s="373"/>
      <c r="AE148" s="373"/>
      <c r="AF148" s="373"/>
      <c r="AG148" s="373"/>
      <c r="AH148" s="373"/>
      <c r="AI148" s="373"/>
      <c r="AJ148" s="373"/>
      <c r="AK148" s="373"/>
      <c r="AL148" s="373"/>
      <c r="AM148" s="373"/>
      <c r="AN148" s="373"/>
      <c r="AO148" s="373"/>
      <c r="AP148" s="373"/>
      <c r="AQ148" s="373"/>
      <c r="AR148" s="373"/>
      <c r="AS148" s="373"/>
      <c r="AT148" s="373"/>
      <c r="AU148" s="373"/>
      <c r="AV148" s="373"/>
      <c r="AW148" s="373"/>
      <c r="AX148" s="373"/>
      <c r="AY148" s="373"/>
      <c r="AZ148" s="373"/>
      <c r="BA148" s="373"/>
      <c r="BB148" s="373"/>
      <c r="BC148" s="373"/>
      <c r="BD148" s="373"/>
    </row>
    <row r="149" spans="1:56" s="374" customFormat="1" x14ac:dyDescent="0.15">
      <c r="A149" s="379"/>
      <c r="B149" s="379"/>
      <c r="C149" s="379"/>
      <c r="D149" s="379"/>
      <c r="E149" s="379"/>
      <c r="F149" s="378"/>
      <c r="G149" s="377"/>
      <c r="H149" s="380"/>
      <c r="I149" s="380"/>
      <c r="J149" s="380"/>
      <c r="K149" s="380"/>
      <c r="L149" s="375"/>
      <c r="M149" s="375"/>
      <c r="N149" s="375"/>
      <c r="O149" s="375"/>
      <c r="P149" s="375"/>
      <c r="S149" s="373"/>
      <c r="T149" s="373"/>
      <c r="U149" s="373"/>
      <c r="V149" s="373"/>
      <c r="W149" s="373"/>
      <c r="X149" s="373"/>
      <c r="Y149" s="373"/>
      <c r="Z149" s="373"/>
      <c r="AA149" s="373"/>
      <c r="AB149" s="373"/>
      <c r="AC149" s="373"/>
      <c r="AD149" s="373"/>
      <c r="AE149" s="373"/>
      <c r="AF149" s="373"/>
      <c r="AG149" s="373"/>
      <c r="AH149" s="373"/>
      <c r="AI149" s="373"/>
      <c r="AJ149" s="373"/>
      <c r="AK149" s="373"/>
      <c r="AL149" s="373"/>
      <c r="AM149" s="373"/>
      <c r="AN149" s="373"/>
      <c r="AO149" s="373"/>
      <c r="AP149" s="373"/>
      <c r="AQ149" s="373"/>
      <c r="AR149" s="373"/>
      <c r="AS149" s="373"/>
      <c r="AT149" s="373"/>
      <c r="AU149" s="373"/>
      <c r="AV149" s="373"/>
      <c r="AW149" s="373"/>
      <c r="AX149" s="373"/>
      <c r="AY149" s="373"/>
      <c r="AZ149" s="373"/>
      <c r="BA149" s="373"/>
      <c r="BB149" s="373"/>
      <c r="BC149" s="373"/>
      <c r="BD149" s="373"/>
    </row>
    <row r="150" spans="1:56" s="374" customFormat="1" x14ac:dyDescent="0.15">
      <c r="A150" s="379"/>
      <c r="B150" s="379"/>
      <c r="C150" s="379"/>
      <c r="D150" s="379"/>
      <c r="E150" s="379"/>
      <c r="F150" s="378"/>
      <c r="G150" s="377"/>
      <c r="H150" s="380"/>
      <c r="I150" s="380"/>
      <c r="J150" s="380"/>
      <c r="K150" s="380"/>
      <c r="L150" s="375"/>
      <c r="M150" s="375"/>
      <c r="N150" s="375"/>
      <c r="O150" s="375"/>
      <c r="S150" s="373"/>
      <c r="T150" s="373"/>
      <c r="U150" s="373"/>
      <c r="V150" s="373"/>
      <c r="W150" s="373"/>
      <c r="X150" s="373"/>
      <c r="Y150" s="373"/>
      <c r="Z150" s="373"/>
      <c r="AA150" s="373"/>
      <c r="AB150" s="373"/>
      <c r="AC150" s="373"/>
      <c r="AD150" s="373"/>
      <c r="AE150" s="373"/>
      <c r="AF150" s="373"/>
      <c r="AG150" s="373"/>
      <c r="AH150" s="373"/>
      <c r="AI150" s="373"/>
      <c r="AJ150" s="373"/>
      <c r="AK150" s="373"/>
      <c r="AL150" s="373"/>
      <c r="AM150" s="373"/>
      <c r="AN150" s="373"/>
      <c r="AO150" s="373"/>
      <c r="AP150" s="373"/>
      <c r="AQ150" s="373"/>
      <c r="AR150" s="373"/>
      <c r="AS150" s="373"/>
      <c r="AT150" s="373"/>
      <c r="AU150" s="373"/>
      <c r="AV150" s="373"/>
      <c r="AW150" s="373"/>
      <c r="AX150" s="373"/>
      <c r="AY150" s="373"/>
      <c r="AZ150" s="373"/>
      <c r="BA150" s="373"/>
      <c r="BB150" s="373"/>
      <c r="BC150" s="373"/>
      <c r="BD150" s="373"/>
    </row>
    <row r="151" spans="1:56" s="374" customFormat="1" x14ac:dyDescent="0.15">
      <c r="A151" s="379"/>
      <c r="B151" s="379"/>
      <c r="C151" s="379"/>
      <c r="D151" s="379"/>
      <c r="E151" s="379"/>
      <c r="F151" s="378"/>
      <c r="G151" s="377"/>
      <c r="H151" s="380"/>
      <c r="I151" s="380"/>
      <c r="J151" s="380"/>
      <c r="K151" s="380"/>
      <c r="L151" s="375"/>
      <c r="M151" s="375"/>
      <c r="N151" s="375"/>
      <c r="O151" s="375"/>
      <c r="S151" s="373"/>
      <c r="T151" s="373"/>
      <c r="U151" s="373"/>
      <c r="V151" s="373"/>
      <c r="W151" s="373"/>
      <c r="X151" s="373"/>
      <c r="Y151" s="373"/>
      <c r="Z151" s="373"/>
      <c r="AA151" s="373"/>
      <c r="AB151" s="373"/>
      <c r="AC151" s="373"/>
      <c r="AD151" s="373"/>
      <c r="AE151" s="373"/>
      <c r="AF151" s="373"/>
      <c r="AG151" s="373"/>
      <c r="AH151" s="373"/>
      <c r="AI151" s="373"/>
      <c r="AJ151" s="373"/>
      <c r="AK151" s="373"/>
      <c r="AL151" s="373"/>
      <c r="AM151" s="373"/>
      <c r="AN151" s="373"/>
      <c r="AO151" s="373"/>
      <c r="AP151" s="373"/>
      <c r="AQ151" s="373"/>
      <c r="AR151" s="373"/>
      <c r="AS151" s="373"/>
      <c r="AT151" s="373"/>
      <c r="AU151" s="373"/>
      <c r="AV151" s="373"/>
      <c r="AW151" s="373"/>
      <c r="AX151" s="373"/>
      <c r="AY151" s="373"/>
      <c r="AZ151" s="373"/>
      <c r="BA151" s="373"/>
      <c r="BB151" s="373"/>
      <c r="BC151" s="373"/>
      <c r="BD151" s="373"/>
    </row>
    <row r="152" spans="1:56" s="374" customFormat="1" x14ac:dyDescent="0.15">
      <c r="A152" s="379"/>
      <c r="B152" s="379"/>
      <c r="C152" s="379"/>
      <c r="D152" s="379"/>
      <c r="E152" s="379"/>
      <c r="F152" s="378"/>
      <c r="G152" s="377"/>
      <c r="L152" s="375"/>
      <c r="M152" s="375"/>
      <c r="N152" s="375"/>
      <c r="O152" s="375"/>
      <c r="S152" s="373"/>
      <c r="T152" s="373"/>
      <c r="U152" s="373"/>
      <c r="V152" s="373"/>
      <c r="W152" s="373"/>
      <c r="X152" s="373"/>
      <c r="Y152" s="373"/>
      <c r="Z152" s="373"/>
      <c r="AA152" s="373"/>
      <c r="AB152" s="373"/>
      <c r="AC152" s="373"/>
      <c r="AD152" s="373"/>
      <c r="AE152" s="373"/>
      <c r="AF152" s="373"/>
      <c r="AG152" s="373"/>
      <c r="AH152" s="373"/>
      <c r="AI152" s="373"/>
      <c r="AJ152" s="373"/>
      <c r="AK152" s="373"/>
      <c r="AL152" s="373"/>
      <c r="AM152" s="373"/>
      <c r="AN152" s="373"/>
      <c r="AO152" s="373"/>
      <c r="AP152" s="373"/>
      <c r="AQ152" s="373"/>
      <c r="AR152" s="373"/>
      <c r="AS152" s="373"/>
      <c r="AT152" s="373"/>
      <c r="AU152" s="373"/>
      <c r="AV152" s="373"/>
      <c r="AW152" s="373"/>
      <c r="AX152" s="373"/>
      <c r="AY152" s="373"/>
      <c r="AZ152" s="373"/>
      <c r="BA152" s="373"/>
      <c r="BB152" s="373"/>
      <c r="BC152" s="373"/>
      <c r="BD152" s="373"/>
    </row>
    <row r="153" spans="1:56" s="374" customFormat="1" x14ac:dyDescent="0.15">
      <c r="A153" s="379"/>
      <c r="B153" s="379"/>
      <c r="C153" s="379"/>
      <c r="D153" s="379"/>
      <c r="E153" s="379"/>
      <c r="F153" s="378"/>
      <c r="G153" s="377"/>
      <c r="L153" s="375"/>
      <c r="M153" s="375"/>
      <c r="N153" s="375"/>
      <c r="O153" s="375"/>
      <c r="S153" s="373"/>
      <c r="T153" s="373"/>
      <c r="U153" s="373"/>
      <c r="V153" s="373"/>
      <c r="W153" s="373"/>
      <c r="X153" s="373"/>
      <c r="Y153" s="373"/>
      <c r="Z153" s="373"/>
      <c r="AA153" s="373"/>
      <c r="AB153" s="373"/>
      <c r="AC153" s="373"/>
      <c r="AD153" s="373"/>
      <c r="AE153" s="373"/>
      <c r="AF153" s="373"/>
      <c r="AG153" s="373"/>
      <c r="AH153" s="373"/>
      <c r="AI153" s="373"/>
      <c r="AJ153" s="373"/>
      <c r="AK153" s="373"/>
      <c r="AL153" s="373"/>
      <c r="AM153" s="373"/>
      <c r="AN153" s="373"/>
      <c r="AO153" s="373"/>
      <c r="AP153" s="373"/>
      <c r="AQ153" s="373"/>
      <c r="AR153" s="373"/>
      <c r="AS153" s="373"/>
      <c r="AT153" s="373"/>
      <c r="AU153" s="373"/>
      <c r="AV153" s="373"/>
      <c r="AW153" s="373"/>
      <c r="AX153" s="373"/>
      <c r="AY153" s="373"/>
      <c r="AZ153" s="373"/>
      <c r="BA153" s="373"/>
      <c r="BB153" s="373"/>
      <c r="BC153" s="373"/>
      <c r="BD153" s="373"/>
    </row>
    <row r="154" spans="1:56" s="374" customFormat="1" x14ac:dyDescent="0.15">
      <c r="A154" s="379"/>
      <c r="B154" s="379"/>
      <c r="C154" s="379"/>
      <c r="D154" s="379"/>
      <c r="E154" s="379"/>
      <c r="F154" s="378"/>
      <c r="G154" s="377"/>
      <c r="L154" s="375"/>
      <c r="M154" s="375"/>
      <c r="N154" s="375"/>
      <c r="O154" s="375"/>
      <c r="S154" s="373"/>
      <c r="T154" s="373"/>
      <c r="U154" s="373"/>
      <c r="V154" s="373"/>
      <c r="W154" s="373"/>
      <c r="X154" s="373"/>
      <c r="Y154" s="373"/>
      <c r="Z154" s="373"/>
      <c r="AA154" s="373"/>
      <c r="AB154" s="373"/>
      <c r="AC154" s="373"/>
      <c r="AD154" s="373"/>
      <c r="AE154" s="373"/>
      <c r="AF154" s="373"/>
      <c r="AG154" s="373"/>
      <c r="AH154" s="373"/>
      <c r="AI154" s="373"/>
      <c r="AJ154" s="373"/>
      <c r="AK154" s="373"/>
      <c r="AL154" s="373"/>
      <c r="AM154" s="373"/>
      <c r="AN154" s="373"/>
      <c r="AO154" s="373"/>
      <c r="AP154" s="373"/>
      <c r="AQ154" s="373"/>
      <c r="AR154" s="373"/>
      <c r="AS154" s="373"/>
      <c r="AT154" s="373"/>
      <c r="AU154" s="373"/>
      <c r="AV154" s="373"/>
      <c r="AW154" s="373"/>
      <c r="AX154" s="373"/>
      <c r="AY154" s="373"/>
      <c r="AZ154" s="373"/>
      <c r="BA154" s="373"/>
      <c r="BB154" s="373"/>
      <c r="BC154" s="373"/>
      <c r="BD154" s="373"/>
    </row>
    <row r="155" spans="1:56" s="374" customFormat="1" x14ac:dyDescent="0.15">
      <c r="A155" s="379"/>
      <c r="B155" s="379"/>
      <c r="C155" s="379"/>
      <c r="D155" s="379"/>
      <c r="E155" s="379"/>
      <c r="F155" s="378"/>
      <c r="G155" s="377"/>
      <c r="L155" s="375"/>
      <c r="M155" s="375"/>
      <c r="N155" s="375"/>
      <c r="O155" s="375"/>
      <c r="S155" s="373"/>
      <c r="T155" s="373"/>
      <c r="U155" s="373"/>
      <c r="V155" s="373"/>
      <c r="W155" s="373"/>
      <c r="X155" s="373"/>
      <c r="Y155" s="373"/>
      <c r="Z155" s="373"/>
      <c r="AA155" s="373"/>
      <c r="AB155" s="373"/>
      <c r="AC155" s="373"/>
      <c r="AD155" s="373"/>
      <c r="AE155" s="373"/>
      <c r="AF155" s="373"/>
      <c r="AG155" s="373"/>
      <c r="AH155" s="373"/>
      <c r="AI155" s="373"/>
      <c r="AJ155" s="373"/>
      <c r="AK155" s="373"/>
      <c r="AL155" s="373"/>
      <c r="AM155" s="373"/>
      <c r="AN155" s="373"/>
      <c r="AO155" s="373"/>
      <c r="AP155" s="373"/>
      <c r="AQ155" s="373"/>
      <c r="AR155" s="373"/>
      <c r="AS155" s="373"/>
      <c r="AT155" s="373"/>
      <c r="AU155" s="373"/>
      <c r="AV155" s="373"/>
      <c r="AW155" s="373"/>
      <c r="AX155" s="373"/>
      <c r="AY155" s="373"/>
      <c r="AZ155" s="373"/>
      <c r="BA155" s="373"/>
      <c r="BB155" s="373"/>
      <c r="BC155" s="373"/>
      <c r="BD155" s="373"/>
    </row>
    <row r="156" spans="1:56" s="374" customFormat="1" x14ac:dyDescent="0.15">
      <c r="A156" s="379"/>
      <c r="B156" s="379"/>
      <c r="C156" s="379"/>
      <c r="D156" s="379"/>
      <c r="E156" s="379"/>
      <c r="F156" s="378"/>
      <c r="G156" s="377"/>
      <c r="L156" s="375"/>
      <c r="M156" s="375"/>
      <c r="N156" s="375"/>
      <c r="O156" s="375"/>
      <c r="S156" s="373"/>
      <c r="T156" s="373"/>
      <c r="U156" s="373"/>
      <c r="V156" s="373"/>
      <c r="W156" s="373"/>
      <c r="X156" s="373"/>
      <c r="Y156" s="373"/>
      <c r="Z156" s="373"/>
      <c r="AA156" s="373"/>
      <c r="AB156" s="373"/>
      <c r="AC156" s="373"/>
      <c r="AD156" s="373"/>
      <c r="AE156" s="373"/>
      <c r="AF156" s="373"/>
      <c r="AG156" s="373"/>
      <c r="AH156" s="373"/>
      <c r="AI156" s="373"/>
      <c r="AJ156" s="373"/>
      <c r="AK156" s="373"/>
      <c r="AL156" s="373"/>
      <c r="AM156" s="373"/>
      <c r="AN156" s="373"/>
      <c r="AO156" s="373"/>
      <c r="AP156" s="373"/>
      <c r="AQ156" s="373"/>
      <c r="AR156" s="373"/>
      <c r="AS156" s="373"/>
      <c r="AT156" s="373"/>
      <c r="AU156" s="373"/>
      <c r="AV156" s="373"/>
      <c r="AW156" s="373"/>
      <c r="AX156" s="373"/>
      <c r="AY156" s="373"/>
      <c r="AZ156" s="373"/>
      <c r="BA156" s="373"/>
      <c r="BB156" s="373"/>
      <c r="BC156" s="373"/>
      <c r="BD156" s="373"/>
    </row>
    <row r="157" spans="1:56" s="374" customFormat="1" x14ac:dyDescent="0.15">
      <c r="A157" s="379"/>
      <c r="B157" s="379"/>
      <c r="C157" s="379"/>
      <c r="D157" s="379"/>
      <c r="E157" s="379"/>
      <c r="F157" s="378"/>
      <c r="G157" s="377"/>
      <c r="L157" s="375"/>
      <c r="M157" s="375"/>
      <c r="N157" s="375"/>
      <c r="O157" s="375"/>
      <c r="S157" s="373"/>
      <c r="T157" s="373"/>
      <c r="U157" s="373"/>
      <c r="V157" s="373"/>
      <c r="W157" s="373"/>
      <c r="X157" s="373"/>
      <c r="Y157" s="373"/>
      <c r="Z157" s="373"/>
      <c r="AA157" s="373"/>
      <c r="AB157" s="373"/>
      <c r="AC157" s="373"/>
      <c r="AD157" s="373"/>
      <c r="AE157" s="373"/>
      <c r="AF157" s="373"/>
      <c r="AG157" s="373"/>
      <c r="AH157" s="373"/>
      <c r="AI157" s="373"/>
      <c r="AJ157" s="373"/>
      <c r="AK157" s="373"/>
      <c r="AL157" s="373"/>
      <c r="AM157" s="373"/>
      <c r="AN157" s="373"/>
      <c r="AO157" s="373"/>
      <c r="AP157" s="373"/>
      <c r="AQ157" s="373"/>
      <c r="AR157" s="373"/>
      <c r="AS157" s="373"/>
      <c r="AT157" s="373"/>
      <c r="AU157" s="373"/>
      <c r="AV157" s="373"/>
      <c r="AW157" s="373"/>
      <c r="AX157" s="373"/>
      <c r="AY157" s="373"/>
      <c r="AZ157" s="373"/>
      <c r="BA157" s="373"/>
      <c r="BB157" s="373"/>
      <c r="BC157" s="373"/>
      <c r="BD157" s="373"/>
    </row>
    <row r="158" spans="1:56" x14ac:dyDescent="0.15">
      <c r="F158" s="421"/>
      <c r="G158" s="420"/>
      <c r="H158" s="374"/>
      <c r="I158" s="374"/>
      <c r="J158" s="374"/>
      <c r="K158" s="374"/>
    </row>
    <row r="159" spans="1:56" x14ac:dyDescent="0.15">
      <c r="F159" s="378"/>
      <c r="H159" s="374"/>
      <c r="I159" s="374"/>
      <c r="J159" s="374"/>
      <c r="K159" s="374"/>
    </row>
    <row r="160" spans="1:56" x14ac:dyDescent="0.15">
      <c r="F160" s="378"/>
      <c r="H160" s="374"/>
      <c r="I160" s="374"/>
      <c r="J160" s="374"/>
      <c r="K160" s="374"/>
    </row>
    <row r="161" spans="1:56" x14ac:dyDescent="0.15">
      <c r="F161" s="378"/>
      <c r="H161" s="374"/>
      <c r="I161" s="374"/>
      <c r="J161" s="374"/>
      <c r="K161" s="374"/>
    </row>
    <row r="162" spans="1:56" x14ac:dyDescent="0.15">
      <c r="F162" s="378"/>
    </row>
    <row r="163" spans="1:56" x14ac:dyDescent="0.15">
      <c r="F163" s="378"/>
    </row>
    <row r="164" spans="1:56" x14ac:dyDescent="0.15">
      <c r="F164" s="378"/>
    </row>
    <row r="165" spans="1:56" x14ac:dyDescent="0.15">
      <c r="F165" s="419"/>
      <c r="G165" s="418"/>
    </row>
    <row r="166" spans="1:56" x14ac:dyDescent="0.15">
      <c r="F166" s="378"/>
    </row>
    <row r="167" spans="1:56" x14ac:dyDescent="0.15">
      <c r="F167" s="378"/>
      <c r="P167" s="375"/>
    </row>
    <row r="168" spans="1:56" x14ac:dyDescent="0.15">
      <c r="F168" s="378"/>
    </row>
    <row r="169" spans="1:56" x14ac:dyDescent="0.15">
      <c r="F169" s="378"/>
    </row>
    <row r="170" spans="1:56" x14ac:dyDescent="0.15">
      <c r="F170" s="378"/>
    </row>
    <row r="171" spans="1:56" x14ac:dyDescent="0.15">
      <c r="F171" s="416"/>
      <c r="G171" s="415"/>
    </row>
    <row r="172" spans="1:56" x14ac:dyDescent="0.15">
      <c r="F172" s="416"/>
      <c r="G172" s="415"/>
    </row>
    <row r="173" spans="1:56" s="386" customFormat="1" x14ac:dyDescent="0.15">
      <c r="A173" s="388" t="s">
        <v>612</v>
      </c>
      <c r="B173" s="388"/>
      <c r="C173" s="388"/>
      <c r="D173" s="388"/>
      <c r="E173" s="388"/>
      <c r="F173" s="416"/>
      <c r="G173" s="415"/>
      <c r="H173" s="375"/>
      <c r="I173" s="375"/>
      <c r="J173" s="375"/>
      <c r="K173" s="375"/>
      <c r="L173" s="375"/>
      <c r="M173" s="375"/>
      <c r="N173" s="375"/>
      <c r="O173" s="375"/>
      <c r="P173" s="387"/>
      <c r="Q173" s="387"/>
      <c r="R173" s="387"/>
    </row>
    <row r="174" spans="1:56" s="375" customFormat="1" x14ac:dyDescent="0.15">
      <c r="A174" s="379"/>
      <c r="B174" s="379"/>
      <c r="C174" s="379"/>
      <c r="D174" s="379"/>
      <c r="E174" s="379"/>
      <c r="F174" s="416"/>
      <c r="G174" s="415"/>
      <c r="P174" s="374"/>
      <c r="Q174" s="374"/>
      <c r="R174" s="374"/>
      <c r="S174" s="373"/>
      <c r="T174" s="373"/>
      <c r="U174" s="373"/>
      <c r="V174" s="373"/>
      <c r="W174" s="373"/>
      <c r="X174" s="373"/>
      <c r="Y174" s="373"/>
      <c r="Z174" s="373"/>
      <c r="AA174" s="373"/>
      <c r="AB174" s="373"/>
      <c r="AC174" s="373"/>
      <c r="AD174" s="373"/>
      <c r="AE174" s="373"/>
      <c r="AF174" s="373"/>
      <c r="AG174" s="373"/>
      <c r="AH174" s="373"/>
      <c r="AI174" s="373"/>
      <c r="AJ174" s="373"/>
      <c r="AK174" s="373"/>
      <c r="AL174" s="373"/>
      <c r="AM174" s="373"/>
      <c r="AN174" s="373"/>
      <c r="AO174" s="373"/>
      <c r="AP174" s="373"/>
      <c r="AQ174" s="373"/>
      <c r="AR174" s="373"/>
      <c r="AS174" s="373"/>
      <c r="AT174" s="373"/>
      <c r="AU174" s="373"/>
      <c r="AV174" s="373"/>
      <c r="AW174" s="373"/>
      <c r="AX174" s="373"/>
      <c r="AY174" s="373"/>
      <c r="AZ174" s="373"/>
      <c r="BA174" s="373"/>
      <c r="BB174" s="373"/>
      <c r="BC174" s="373"/>
      <c r="BD174" s="373"/>
    </row>
    <row r="175" spans="1:56" s="375" customFormat="1" x14ac:dyDescent="0.15">
      <c r="A175" s="417"/>
      <c r="B175" s="379"/>
      <c r="C175" s="379"/>
      <c r="D175" s="379"/>
      <c r="E175" s="379"/>
      <c r="F175" s="416"/>
      <c r="G175" s="415"/>
      <c r="P175" s="374"/>
      <c r="Q175" s="374"/>
      <c r="R175" s="374"/>
      <c r="S175" s="373"/>
      <c r="T175" s="373"/>
      <c r="U175" s="373"/>
      <c r="V175" s="373"/>
      <c r="W175" s="373"/>
      <c r="X175" s="373"/>
      <c r="Y175" s="373"/>
      <c r="Z175" s="373"/>
      <c r="AA175" s="373"/>
      <c r="AB175" s="373"/>
      <c r="AC175" s="373"/>
      <c r="AD175" s="373"/>
      <c r="AE175" s="373"/>
      <c r="AF175" s="373"/>
      <c r="AG175" s="373"/>
      <c r="AH175" s="373"/>
      <c r="AI175" s="373"/>
      <c r="AJ175" s="373"/>
      <c r="AK175" s="373"/>
      <c r="AL175" s="373"/>
      <c r="AM175" s="373"/>
      <c r="AN175" s="373"/>
      <c r="AO175" s="373"/>
      <c r="AP175" s="373"/>
      <c r="AQ175" s="373"/>
      <c r="AR175" s="373"/>
      <c r="AS175" s="373"/>
      <c r="AT175" s="373"/>
      <c r="AU175" s="373"/>
      <c r="AV175" s="373"/>
      <c r="AW175" s="373"/>
      <c r="AX175" s="373"/>
      <c r="AY175" s="373"/>
      <c r="AZ175" s="373"/>
      <c r="BA175" s="373"/>
      <c r="BB175" s="373"/>
      <c r="BC175" s="373"/>
      <c r="BD175" s="373"/>
    </row>
    <row r="176" spans="1:56" s="377" customFormat="1" x14ac:dyDescent="0.15">
      <c r="A176" s="379"/>
      <c r="B176" s="379"/>
      <c r="C176" s="379"/>
      <c r="D176" s="379"/>
      <c r="E176" s="379"/>
      <c r="F176" s="378"/>
      <c r="H176" s="375"/>
      <c r="I176" s="375"/>
      <c r="J176" s="375"/>
      <c r="K176" s="375"/>
      <c r="L176" s="375"/>
      <c r="M176" s="375"/>
      <c r="N176" s="375"/>
      <c r="O176" s="375"/>
      <c r="P176" s="374"/>
      <c r="Q176" s="374"/>
      <c r="R176" s="374"/>
      <c r="S176" s="373"/>
      <c r="T176" s="373"/>
      <c r="U176" s="373"/>
      <c r="V176" s="373"/>
      <c r="W176" s="373"/>
      <c r="X176" s="373"/>
      <c r="Y176" s="373"/>
      <c r="Z176" s="373"/>
      <c r="AA176" s="373"/>
      <c r="AB176" s="373"/>
      <c r="AC176" s="373"/>
      <c r="AD176" s="373"/>
      <c r="AE176" s="373"/>
      <c r="AF176" s="373"/>
      <c r="AG176" s="373"/>
      <c r="AH176" s="373"/>
      <c r="AI176" s="373"/>
      <c r="AJ176" s="373"/>
      <c r="AK176" s="373"/>
      <c r="AL176" s="373"/>
      <c r="AM176" s="373"/>
      <c r="AN176" s="373"/>
      <c r="AO176" s="373"/>
      <c r="AP176" s="373"/>
      <c r="AQ176" s="373"/>
      <c r="AR176" s="373"/>
      <c r="AS176" s="373"/>
      <c r="AT176" s="373"/>
      <c r="AU176" s="373"/>
      <c r="AV176" s="373"/>
      <c r="AW176" s="373"/>
      <c r="AX176" s="373"/>
      <c r="AY176" s="373"/>
      <c r="AZ176" s="373"/>
      <c r="BA176" s="373"/>
      <c r="BB176" s="373"/>
      <c r="BC176" s="373"/>
      <c r="BD176" s="373"/>
    </row>
    <row r="177" spans="1:56" s="377" customFormat="1" x14ac:dyDescent="0.15">
      <c r="A177" s="379"/>
      <c r="B177" s="379"/>
      <c r="C177" s="379"/>
      <c r="D177" s="379"/>
      <c r="E177" s="379"/>
      <c r="F177" s="378"/>
      <c r="H177" s="375"/>
      <c r="I177" s="375"/>
      <c r="J177" s="375"/>
      <c r="K177" s="375"/>
      <c r="L177" s="375"/>
      <c r="M177" s="375"/>
      <c r="N177" s="375"/>
      <c r="O177" s="375"/>
      <c r="P177" s="374"/>
      <c r="Q177" s="374"/>
      <c r="R177" s="374"/>
      <c r="S177" s="373"/>
      <c r="T177" s="373"/>
      <c r="U177" s="373"/>
      <c r="V177" s="373"/>
      <c r="W177" s="373"/>
      <c r="X177" s="373"/>
      <c r="Y177" s="373"/>
      <c r="Z177" s="373"/>
      <c r="AA177" s="373"/>
      <c r="AB177" s="373"/>
      <c r="AC177" s="373"/>
      <c r="AD177" s="373"/>
      <c r="AE177" s="373"/>
      <c r="AF177" s="373"/>
      <c r="AG177" s="373"/>
      <c r="AH177" s="373"/>
      <c r="AI177" s="373"/>
      <c r="AJ177" s="373"/>
      <c r="AK177" s="373"/>
      <c r="AL177" s="373"/>
      <c r="AM177" s="373"/>
      <c r="AN177" s="373"/>
      <c r="AO177" s="373"/>
      <c r="AP177" s="373"/>
      <c r="AQ177" s="373"/>
      <c r="AR177" s="373"/>
      <c r="AS177" s="373"/>
      <c r="AT177" s="373"/>
      <c r="AU177" s="373"/>
      <c r="AV177" s="373"/>
      <c r="AW177" s="373"/>
      <c r="AX177" s="373"/>
      <c r="AY177" s="373"/>
      <c r="AZ177" s="373"/>
      <c r="BA177" s="373"/>
      <c r="BB177" s="373"/>
      <c r="BC177" s="373"/>
      <c r="BD177" s="373"/>
    </row>
    <row r="178" spans="1:56" s="377" customFormat="1" x14ac:dyDescent="0.15">
      <c r="A178" s="379"/>
      <c r="B178" s="379"/>
      <c r="C178" s="379"/>
      <c r="D178" s="379"/>
      <c r="E178" s="379"/>
      <c r="F178" s="378"/>
      <c r="H178" s="375"/>
      <c r="I178" s="375"/>
      <c r="J178" s="375"/>
      <c r="K178" s="375"/>
      <c r="L178" s="375"/>
      <c r="M178" s="375"/>
      <c r="N178" s="375"/>
      <c r="O178" s="375"/>
      <c r="P178" s="374"/>
      <c r="Q178" s="374"/>
      <c r="R178" s="374"/>
      <c r="S178" s="373"/>
      <c r="T178" s="373"/>
      <c r="U178" s="373"/>
      <c r="V178" s="373"/>
      <c r="W178" s="373"/>
      <c r="X178" s="373"/>
      <c r="Y178" s="373"/>
      <c r="Z178" s="373"/>
      <c r="AA178" s="373"/>
      <c r="AB178" s="373"/>
      <c r="AC178" s="373"/>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3"/>
      <c r="AY178" s="373"/>
      <c r="AZ178" s="373"/>
      <c r="BA178" s="373"/>
      <c r="BB178" s="373"/>
      <c r="BC178" s="373"/>
      <c r="BD178" s="373"/>
    </row>
    <row r="179" spans="1:56" s="377" customFormat="1" x14ac:dyDescent="0.15">
      <c r="A179" s="379"/>
      <c r="B179" s="379"/>
      <c r="C179" s="379"/>
      <c r="D179" s="379"/>
      <c r="E179" s="379"/>
      <c r="F179" s="378"/>
      <c r="H179" s="375"/>
      <c r="I179" s="375"/>
      <c r="J179" s="375"/>
      <c r="K179" s="375"/>
      <c r="L179" s="375"/>
      <c r="M179" s="375"/>
      <c r="N179" s="375"/>
      <c r="O179" s="375"/>
      <c r="P179" s="374"/>
      <c r="Q179" s="374"/>
      <c r="R179" s="374"/>
      <c r="S179" s="373"/>
      <c r="T179" s="373"/>
      <c r="U179" s="373"/>
      <c r="V179" s="373"/>
      <c r="W179" s="373"/>
      <c r="X179" s="373"/>
      <c r="Y179" s="373"/>
      <c r="Z179" s="373"/>
      <c r="AA179" s="373"/>
      <c r="AB179" s="373"/>
      <c r="AC179" s="373"/>
      <c r="AD179" s="373"/>
      <c r="AE179" s="373"/>
      <c r="AF179" s="373"/>
      <c r="AG179" s="373"/>
      <c r="AH179" s="373"/>
      <c r="AI179" s="373"/>
      <c r="AJ179" s="373"/>
      <c r="AK179" s="373"/>
      <c r="AL179" s="373"/>
      <c r="AM179" s="373"/>
      <c r="AN179" s="373"/>
      <c r="AO179" s="373"/>
      <c r="AP179" s="373"/>
      <c r="AQ179" s="373"/>
      <c r="AR179" s="373"/>
      <c r="AS179" s="373"/>
      <c r="AT179" s="373"/>
      <c r="AU179" s="373"/>
      <c r="AV179" s="373"/>
      <c r="AW179" s="373"/>
      <c r="AX179" s="373"/>
      <c r="AY179" s="373"/>
      <c r="AZ179" s="373"/>
      <c r="BA179" s="373"/>
      <c r="BB179" s="373"/>
      <c r="BC179" s="373"/>
      <c r="BD179" s="373"/>
    </row>
    <row r="180" spans="1:56" s="377" customFormat="1" x14ac:dyDescent="0.15">
      <c r="A180" s="379"/>
      <c r="B180" s="379"/>
      <c r="C180" s="379"/>
      <c r="D180" s="379"/>
      <c r="E180" s="379"/>
      <c r="F180" s="378"/>
      <c r="H180" s="375"/>
      <c r="I180" s="375"/>
      <c r="J180" s="375"/>
      <c r="K180" s="375"/>
      <c r="L180" s="375"/>
      <c r="M180" s="375"/>
      <c r="N180" s="375"/>
      <c r="O180" s="375"/>
      <c r="P180" s="374"/>
      <c r="Q180" s="374"/>
      <c r="R180" s="374"/>
      <c r="S180" s="373"/>
      <c r="T180" s="373"/>
      <c r="U180" s="373"/>
      <c r="V180" s="373"/>
      <c r="W180" s="373"/>
      <c r="X180" s="373"/>
      <c r="Y180" s="373"/>
      <c r="Z180" s="373"/>
      <c r="AA180" s="373"/>
      <c r="AB180" s="373"/>
      <c r="AC180" s="373"/>
      <c r="AD180" s="373"/>
      <c r="AE180" s="373"/>
      <c r="AF180" s="373"/>
      <c r="AG180" s="373"/>
      <c r="AH180" s="373"/>
      <c r="AI180" s="373"/>
      <c r="AJ180" s="373"/>
      <c r="AK180" s="373"/>
      <c r="AL180" s="373"/>
      <c r="AM180" s="373"/>
      <c r="AN180" s="373"/>
      <c r="AO180" s="373"/>
      <c r="AP180" s="373"/>
      <c r="AQ180" s="373"/>
      <c r="AR180" s="373"/>
      <c r="AS180" s="373"/>
      <c r="AT180" s="373"/>
      <c r="AU180" s="373"/>
      <c r="AV180" s="373"/>
      <c r="AW180" s="373"/>
      <c r="AX180" s="373"/>
      <c r="AY180" s="373"/>
      <c r="AZ180" s="373"/>
      <c r="BA180" s="373"/>
      <c r="BB180" s="373"/>
      <c r="BC180" s="373"/>
      <c r="BD180" s="373"/>
    </row>
    <row r="181" spans="1:56" s="377" customFormat="1" x14ac:dyDescent="0.15">
      <c r="A181" s="379"/>
      <c r="B181" s="379"/>
      <c r="C181" s="379"/>
      <c r="D181" s="379"/>
      <c r="E181" s="379"/>
      <c r="F181" s="378"/>
      <c r="H181" s="375"/>
      <c r="I181" s="375"/>
      <c r="J181" s="375"/>
      <c r="K181" s="375"/>
      <c r="L181" s="375"/>
      <c r="M181" s="375"/>
      <c r="N181" s="375"/>
      <c r="O181" s="375"/>
      <c r="P181" s="374"/>
      <c r="Q181" s="374"/>
      <c r="R181" s="374"/>
      <c r="S181" s="373"/>
      <c r="T181" s="373"/>
      <c r="U181" s="373"/>
      <c r="V181" s="373"/>
      <c r="W181" s="373"/>
      <c r="X181" s="373"/>
      <c r="Y181" s="373"/>
      <c r="Z181" s="373"/>
      <c r="AA181" s="373"/>
      <c r="AB181" s="373"/>
      <c r="AC181" s="373"/>
      <c r="AD181" s="373"/>
      <c r="AE181" s="373"/>
      <c r="AF181" s="373"/>
      <c r="AG181" s="373"/>
      <c r="AH181" s="373"/>
      <c r="AI181" s="373"/>
      <c r="AJ181" s="373"/>
      <c r="AK181" s="373"/>
      <c r="AL181" s="373"/>
      <c r="AM181" s="373"/>
      <c r="AN181" s="373"/>
      <c r="AO181" s="373"/>
      <c r="AP181" s="373"/>
      <c r="AQ181" s="373"/>
      <c r="AR181" s="373"/>
      <c r="AS181" s="373"/>
      <c r="AT181" s="373"/>
      <c r="AU181" s="373"/>
      <c r="AV181" s="373"/>
      <c r="AW181" s="373"/>
      <c r="AX181" s="373"/>
      <c r="AY181" s="373"/>
      <c r="AZ181" s="373"/>
      <c r="BA181" s="373"/>
      <c r="BB181" s="373"/>
      <c r="BC181" s="373"/>
      <c r="BD181" s="373"/>
    </row>
    <row r="182" spans="1:56" s="377" customFormat="1" x14ac:dyDescent="0.15">
      <c r="A182" s="379"/>
      <c r="B182" s="379"/>
      <c r="C182" s="379"/>
      <c r="D182" s="379"/>
      <c r="E182" s="379"/>
      <c r="F182" s="378"/>
      <c r="H182" s="375"/>
      <c r="I182" s="375"/>
      <c r="J182" s="375"/>
      <c r="K182" s="375"/>
      <c r="L182" s="375"/>
      <c r="M182" s="375"/>
      <c r="N182" s="375"/>
      <c r="O182" s="375"/>
      <c r="P182" s="374"/>
      <c r="Q182" s="374"/>
      <c r="R182" s="374"/>
      <c r="S182" s="373"/>
      <c r="T182" s="373"/>
      <c r="U182" s="373"/>
      <c r="V182" s="373"/>
      <c r="W182" s="373"/>
      <c r="X182" s="373"/>
      <c r="Y182" s="373"/>
      <c r="Z182" s="373"/>
      <c r="AA182" s="373"/>
      <c r="AB182" s="373"/>
      <c r="AC182" s="373"/>
      <c r="AD182" s="373"/>
      <c r="AE182" s="373"/>
      <c r="AF182" s="373"/>
      <c r="AG182" s="373"/>
      <c r="AH182" s="373"/>
      <c r="AI182" s="373"/>
      <c r="AJ182" s="373"/>
      <c r="AK182" s="373"/>
      <c r="AL182" s="373"/>
      <c r="AM182" s="373"/>
      <c r="AN182" s="373"/>
      <c r="AO182" s="373"/>
      <c r="AP182" s="373"/>
      <c r="AQ182" s="373"/>
      <c r="AR182" s="373"/>
      <c r="AS182" s="373"/>
      <c r="AT182" s="373"/>
      <c r="AU182" s="373"/>
      <c r="AV182" s="373"/>
      <c r="AW182" s="373"/>
      <c r="AX182" s="373"/>
      <c r="AY182" s="373"/>
      <c r="AZ182" s="373"/>
      <c r="BA182" s="373"/>
      <c r="BB182" s="373"/>
      <c r="BC182" s="373"/>
      <c r="BD182" s="373"/>
    </row>
    <row r="183" spans="1:56" s="377" customFormat="1" x14ac:dyDescent="0.15">
      <c r="A183" s="379"/>
      <c r="B183" s="379"/>
      <c r="C183" s="379"/>
      <c r="D183" s="379"/>
      <c r="E183" s="379"/>
      <c r="F183" s="378"/>
      <c r="H183" s="375"/>
      <c r="I183" s="375"/>
      <c r="J183" s="375"/>
      <c r="K183" s="375"/>
      <c r="L183" s="375"/>
      <c r="M183" s="375"/>
      <c r="N183" s="375"/>
      <c r="O183" s="375"/>
      <c r="P183" s="374"/>
      <c r="Q183" s="374"/>
      <c r="R183" s="374"/>
      <c r="S183" s="373"/>
      <c r="T183" s="373"/>
      <c r="U183" s="373"/>
      <c r="V183" s="373"/>
      <c r="W183" s="373"/>
      <c r="X183" s="373"/>
      <c r="Y183" s="373"/>
      <c r="Z183" s="373"/>
      <c r="AA183" s="373"/>
      <c r="AB183" s="373"/>
      <c r="AC183" s="373"/>
      <c r="AD183" s="373"/>
      <c r="AE183" s="373"/>
      <c r="AF183" s="373"/>
      <c r="AG183" s="373"/>
      <c r="AH183" s="373"/>
      <c r="AI183" s="373"/>
      <c r="AJ183" s="373"/>
      <c r="AK183" s="373"/>
      <c r="AL183" s="373"/>
      <c r="AM183" s="373"/>
      <c r="AN183" s="373"/>
      <c r="AO183" s="373"/>
      <c r="AP183" s="373"/>
      <c r="AQ183" s="373"/>
      <c r="AR183" s="373"/>
      <c r="AS183" s="373"/>
      <c r="AT183" s="373"/>
      <c r="AU183" s="373"/>
      <c r="AV183" s="373"/>
      <c r="AW183" s="373"/>
      <c r="AX183" s="373"/>
      <c r="AY183" s="373"/>
      <c r="AZ183" s="373"/>
      <c r="BA183" s="373"/>
      <c r="BB183" s="373"/>
      <c r="BC183" s="373"/>
      <c r="BD183" s="373"/>
    </row>
    <row r="184" spans="1:56" s="377" customFormat="1" x14ac:dyDescent="0.15">
      <c r="A184" s="379"/>
      <c r="B184" s="379"/>
      <c r="C184" s="379"/>
      <c r="D184" s="379"/>
      <c r="E184" s="379"/>
      <c r="F184" s="378"/>
      <c r="H184" s="375"/>
      <c r="I184" s="375"/>
      <c r="J184" s="375"/>
      <c r="K184" s="375"/>
      <c r="L184" s="375"/>
      <c r="M184" s="375"/>
      <c r="N184" s="375"/>
      <c r="O184" s="375"/>
      <c r="P184" s="374"/>
      <c r="Q184" s="374"/>
      <c r="R184" s="374"/>
      <c r="S184" s="373"/>
      <c r="T184" s="373"/>
      <c r="U184" s="373"/>
      <c r="V184" s="373"/>
      <c r="W184" s="373"/>
      <c r="X184" s="373"/>
      <c r="Y184" s="373"/>
      <c r="Z184" s="373"/>
      <c r="AA184" s="373"/>
      <c r="AB184" s="373"/>
      <c r="AC184" s="373"/>
      <c r="AD184" s="373"/>
      <c r="AE184" s="373"/>
      <c r="AF184" s="373"/>
      <c r="AG184" s="373"/>
      <c r="AH184" s="373"/>
      <c r="AI184" s="373"/>
      <c r="AJ184" s="373"/>
      <c r="AK184" s="373"/>
      <c r="AL184" s="373"/>
      <c r="AM184" s="373"/>
      <c r="AN184" s="373"/>
      <c r="AO184" s="373"/>
      <c r="AP184" s="373"/>
      <c r="AQ184" s="373"/>
      <c r="AR184" s="373"/>
      <c r="AS184" s="373"/>
      <c r="AT184" s="373"/>
      <c r="AU184" s="373"/>
      <c r="AV184" s="373"/>
      <c r="AW184" s="373"/>
      <c r="AX184" s="373"/>
      <c r="AY184" s="373"/>
      <c r="AZ184" s="373"/>
      <c r="BA184" s="373"/>
      <c r="BB184" s="373"/>
      <c r="BC184" s="373"/>
      <c r="BD184" s="373"/>
    </row>
    <row r="185" spans="1:56" s="377" customFormat="1" x14ac:dyDescent="0.15">
      <c r="A185" s="379"/>
      <c r="B185" s="379"/>
      <c r="C185" s="379"/>
      <c r="D185" s="379"/>
      <c r="E185" s="379"/>
      <c r="F185" s="378"/>
      <c r="H185" s="375"/>
      <c r="I185" s="375"/>
      <c r="J185" s="375"/>
      <c r="K185" s="375"/>
      <c r="L185" s="375"/>
      <c r="M185" s="375"/>
      <c r="N185" s="375"/>
      <c r="O185" s="375"/>
      <c r="P185" s="374"/>
      <c r="Q185" s="374"/>
      <c r="R185" s="374"/>
      <c r="S185" s="373"/>
      <c r="T185" s="373"/>
      <c r="U185" s="373"/>
      <c r="V185" s="373"/>
      <c r="W185" s="373"/>
      <c r="X185" s="373"/>
      <c r="Y185" s="373"/>
      <c r="Z185" s="373"/>
      <c r="AA185" s="373"/>
      <c r="AB185" s="373"/>
      <c r="AC185" s="373"/>
      <c r="AD185" s="373"/>
      <c r="AE185" s="373"/>
      <c r="AF185" s="373"/>
      <c r="AG185" s="373"/>
      <c r="AH185" s="373"/>
      <c r="AI185" s="373"/>
      <c r="AJ185" s="373"/>
      <c r="AK185" s="373"/>
      <c r="AL185" s="373"/>
      <c r="AM185" s="373"/>
      <c r="AN185" s="373"/>
      <c r="AO185" s="373"/>
      <c r="AP185" s="373"/>
      <c r="AQ185" s="373"/>
      <c r="AR185" s="373"/>
      <c r="AS185" s="373"/>
      <c r="AT185" s="373"/>
      <c r="AU185" s="373"/>
      <c r="AV185" s="373"/>
      <c r="AW185" s="373"/>
      <c r="AX185" s="373"/>
      <c r="AY185" s="373"/>
      <c r="AZ185" s="373"/>
      <c r="BA185" s="373"/>
      <c r="BB185" s="373"/>
      <c r="BC185" s="373"/>
      <c r="BD185" s="373"/>
    </row>
    <row r="186" spans="1:56" s="377" customFormat="1" x14ac:dyDescent="0.15">
      <c r="A186" s="379"/>
      <c r="B186" s="379"/>
      <c r="C186" s="379"/>
      <c r="D186" s="379"/>
      <c r="E186" s="379"/>
      <c r="F186" s="378"/>
      <c r="H186" s="375"/>
      <c r="I186" s="375"/>
      <c r="J186" s="375"/>
      <c r="K186" s="375"/>
      <c r="L186" s="375"/>
      <c r="M186" s="375"/>
      <c r="N186" s="375"/>
      <c r="O186" s="375"/>
      <c r="P186" s="374"/>
      <c r="Q186" s="374"/>
      <c r="R186" s="374"/>
      <c r="S186" s="373"/>
      <c r="T186" s="373"/>
      <c r="U186" s="373"/>
      <c r="V186" s="373"/>
      <c r="W186" s="373"/>
      <c r="X186" s="373"/>
      <c r="Y186" s="373"/>
      <c r="Z186" s="373"/>
      <c r="AA186" s="373"/>
      <c r="AB186" s="373"/>
      <c r="AC186" s="373"/>
      <c r="AD186" s="373"/>
      <c r="AE186" s="373"/>
      <c r="AF186" s="373"/>
      <c r="AG186" s="373"/>
      <c r="AH186" s="373"/>
      <c r="AI186" s="373"/>
      <c r="AJ186" s="373"/>
      <c r="AK186" s="373"/>
      <c r="AL186" s="373"/>
      <c r="AM186" s="373"/>
      <c r="AN186" s="373"/>
      <c r="AO186" s="373"/>
      <c r="AP186" s="373"/>
      <c r="AQ186" s="373"/>
      <c r="AR186" s="373"/>
      <c r="AS186" s="373"/>
      <c r="AT186" s="373"/>
      <c r="AU186" s="373"/>
      <c r="AV186" s="373"/>
      <c r="AW186" s="373"/>
      <c r="AX186" s="373"/>
      <c r="AY186" s="373"/>
      <c r="AZ186" s="373"/>
      <c r="BA186" s="373"/>
      <c r="BB186" s="373"/>
      <c r="BC186" s="373"/>
      <c r="BD186" s="373"/>
    </row>
    <row r="187" spans="1:56" s="377" customFormat="1" x14ac:dyDescent="0.15">
      <c r="A187" s="379"/>
      <c r="B187" s="379"/>
      <c r="C187" s="379"/>
      <c r="D187" s="379"/>
      <c r="E187" s="379"/>
      <c r="F187" s="378"/>
      <c r="H187" s="375"/>
      <c r="I187" s="375"/>
      <c r="J187" s="375"/>
      <c r="K187" s="375"/>
      <c r="L187" s="375"/>
      <c r="M187" s="375"/>
      <c r="N187" s="375"/>
      <c r="O187" s="375"/>
      <c r="P187" s="374"/>
      <c r="Q187" s="374"/>
      <c r="R187" s="374"/>
      <c r="S187" s="373"/>
      <c r="T187" s="373"/>
      <c r="U187" s="373"/>
      <c r="V187" s="373"/>
      <c r="W187" s="373"/>
      <c r="X187" s="373"/>
      <c r="Y187" s="373"/>
      <c r="Z187" s="373"/>
      <c r="AA187" s="373"/>
      <c r="AB187" s="373"/>
      <c r="AC187" s="373"/>
      <c r="AD187" s="373"/>
      <c r="AE187" s="373"/>
      <c r="AF187" s="373"/>
      <c r="AG187" s="373"/>
      <c r="AH187" s="373"/>
      <c r="AI187" s="373"/>
      <c r="AJ187" s="373"/>
      <c r="AK187" s="373"/>
      <c r="AL187" s="373"/>
      <c r="AM187" s="373"/>
      <c r="AN187" s="373"/>
      <c r="AO187" s="373"/>
      <c r="AP187" s="373"/>
      <c r="AQ187" s="373"/>
      <c r="AR187" s="373"/>
      <c r="AS187" s="373"/>
      <c r="AT187" s="373"/>
      <c r="AU187" s="373"/>
      <c r="AV187" s="373"/>
      <c r="AW187" s="373"/>
      <c r="AX187" s="373"/>
      <c r="AY187" s="373"/>
      <c r="AZ187" s="373"/>
      <c r="BA187" s="373"/>
      <c r="BB187" s="373"/>
      <c r="BC187" s="373"/>
      <c r="BD187" s="373"/>
    </row>
    <row r="188" spans="1:56" s="377" customFormat="1" x14ac:dyDescent="0.15">
      <c r="A188" s="379"/>
      <c r="B188" s="379"/>
      <c r="C188" s="379"/>
      <c r="D188" s="379"/>
      <c r="E188" s="379"/>
      <c r="F188" s="378"/>
      <c r="H188" s="375"/>
      <c r="I188" s="375"/>
      <c r="J188" s="375"/>
      <c r="K188" s="375"/>
      <c r="L188" s="375"/>
      <c r="M188" s="375"/>
      <c r="N188" s="375"/>
      <c r="O188" s="375"/>
      <c r="P188" s="374"/>
      <c r="Q188" s="374"/>
      <c r="R188" s="374"/>
      <c r="S188" s="373"/>
      <c r="T188" s="373"/>
      <c r="U188" s="373"/>
      <c r="V188" s="373"/>
      <c r="W188" s="373"/>
      <c r="X188" s="373"/>
      <c r="Y188" s="373"/>
      <c r="Z188" s="373"/>
      <c r="AA188" s="373"/>
      <c r="AB188" s="373"/>
      <c r="AC188" s="373"/>
      <c r="AD188" s="373"/>
      <c r="AE188" s="373"/>
      <c r="AF188" s="373"/>
      <c r="AG188" s="373"/>
      <c r="AH188" s="373"/>
      <c r="AI188" s="373"/>
      <c r="AJ188" s="373"/>
      <c r="AK188" s="373"/>
      <c r="AL188" s="373"/>
      <c r="AM188" s="373"/>
      <c r="AN188" s="373"/>
      <c r="AO188" s="373"/>
      <c r="AP188" s="373"/>
      <c r="AQ188" s="373"/>
      <c r="AR188" s="373"/>
      <c r="AS188" s="373"/>
      <c r="AT188" s="373"/>
      <c r="AU188" s="373"/>
      <c r="AV188" s="373"/>
      <c r="AW188" s="373"/>
      <c r="AX188" s="373"/>
      <c r="AY188" s="373"/>
      <c r="AZ188" s="373"/>
      <c r="BA188" s="373"/>
      <c r="BB188" s="373"/>
      <c r="BC188" s="373"/>
      <c r="BD188" s="373"/>
    </row>
    <row r="189" spans="1:56" s="377" customFormat="1" x14ac:dyDescent="0.15">
      <c r="A189" s="379"/>
      <c r="B189" s="379"/>
      <c r="C189" s="379"/>
      <c r="D189" s="379"/>
      <c r="E189" s="379"/>
      <c r="F189" s="378"/>
      <c r="H189" s="375"/>
      <c r="I189" s="375"/>
      <c r="J189" s="375"/>
      <c r="K189" s="375"/>
      <c r="L189" s="375"/>
      <c r="M189" s="375"/>
      <c r="N189" s="375"/>
      <c r="O189" s="375"/>
      <c r="P189" s="374"/>
      <c r="Q189" s="374"/>
      <c r="R189" s="374"/>
      <c r="S189" s="373"/>
      <c r="T189" s="373"/>
      <c r="U189" s="373"/>
      <c r="V189" s="373"/>
      <c r="W189" s="373"/>
      <c r="X189" s="373"/>
      <c r="Y189" s="373"/>
      <c r="Z189" s="373"/>
      <c r="AA189" s="373"/>
      <c r="AB189" s="373"/>
      <c r="AC189" s="373"/>
      <c r="AD189" s="373"/>
      <c r="AE189" s="373"/>
      <c r="AF189" s="373"/>
      <c r="AG189" s="373"/>
      <c r="AH189" s="373"/>
      <c r="AI189" s="373"/>
      <c r="AJ189" s="373"/>
      <c r="AK189" s="373"/>
      <c r="AL189" s="373"/>
      <c r="AM189" s="373"/>
      <c r="AN189" s="373"/>
      <c r="AO189" s="373"/>
      <c r="AP189" s="373"/>
      <c r="AQ189" s="373"/>
      <c r="AR189" s="373"/>
      <c r="AS189" s="373"/>
      <c r="AT189" s="373"/>
      <c r="AU189" s="373"/>
      <c r="AV189" s="373"/>
      <c r="AW189" s="373"/>
      <c r="AX189" s="373"/>
      <c r="AY189" s="373"/>
      <c r="AZ189" s="373"/>
      <c r="BA189" s="373"/>
      <c r="BB189" s="373"/>
      <c r="BC189" s="373"/>
      <c r="BD189" s="373"/>
    </row>
    <row r="190" spans="1:56" s="377" customFormat="1" x14ac:dyDescent="0.15">
      <c r="A190" s="379"/>
      <c r="B190" s="379"/>
      <c r="C190" s="379"/>
      <c r="D190" s="379"/>
      <c r="E190" s="379"/>
      <c r="F190" s="378"/>
      <c r="H190" s="375"/>
      <c r="I190" s="375"/>
      <c r="J190" s="375"/>
      <c r="K190" s="375"/>
      <c r="L190" s="375"/>
      <c r="M190" s="375"/>
      <c r="N190" s="375"/>
      <c r="O190" s="375"/>
      <c r="P190" s="374"/>
      <c r="Q190" s="374"/>
      <c r="R190" s="374"/>
      <c r="S190" s="373"/>
      <c r="T190" s="373"/>
      <c r="U190" s="373"/>
      <c r="V190" s="373"/>
      <c r="W190" s="373"/>
      <c r="X190" s="373"/>
      <c r="Y190" s="373"/>
      <c r="Z190" s="373"/>
      <c r="AA190" s="373"/>
      <c r="AB190" s="373"/>
      <c r="AC190" s="373"/>
      <c r="AD190" s="373"/>
      <c r="AE190" s="373"/>
      <c r="AF190" s="373"/>
      <c r="AG190" s="373"/>
      <c r="AH190" s="373"/>
      <c r="AI190" s="373"/>
      <c r="AJ190" s="373"/>
      <c r="AK190" s="373"/>
      <c r="AL190" s="373"/>
      <c r="AM190" s="373"/>
      <c r="AN190" s="373"/>
      <c r="AO190" s="373"/>
      <c r="AP190" s="373"/>
      <c r="AQ190" s="373"/>
      <c r="AR190" s="373"/>
      <c r="AS190" s="373"/>
      <c r="AT190" s="373"/>
      <c r="AU190" s="373"/>
      <c r="AV190" s="373"/>
      <c r="AW190" s="373"/>
      <c r="AX190" s="373"/>
      <c r="AY190" s="373"/>
      <c r="AZ190" s="373"/>
      <c r="BA190" s="373"/>
      <c r="BB190" s="373"/>
      <c r="BC190" s="373"/>
      <c r="BD190" s="373"/>
    </row>
    <row r="191" spans="1:56" s="377" customFormat="1" x14ac:dyDescent="0.15">
      <c r="A191" s="379"/>
      <c r="B191" s="379"/>
      <c r="C191" s="379"/>
      <c r="D191" s="379"/>
      <c r="E191" s="379"/>
      <c r="F191" s="378"/>
      <c r="H191" s="375"/>
      <c r="I191" s="375"/>
      <c r="J191" s="375"/>
      <c r="K191" s="375"/>
      <c r="L191" s="375"/>
      <c r="M191" s="375"/>
      <c r="N191" s="375"/>
      <c r="O191" s="375"/>
      <c r="P191" s="374"/>
      <c r="Q191" s="374"/>
      <c r="R191" s="374"/>
      <c r="S191" s="373"/>
      <c r="T191" s="373"/>
      <c r="U191" s="373"/>
      <c r="V191" s="373"/>
      <c r="W191" s="373"/>
      <c r="X191" s="373"/>
      <c r="Y191" s="373"/>
      <c r="Z191" s="373"/>
      <c r="AA191" s="373"/>
      <c r="AB191" s="373"/>
      <c r="AC191" s="373"/>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3"/>
      <c r="AY191" s="373"/>
      <c r="AZ191" s="373"/>
      <c r="BA191" s="373"/>
      <c r="BB191" s="373"/>
      <c r="BC191" s="373"/>
      <c r="BD191" s="373"/>
    </row>
    <row r="192" spans="1:56" s="377" customFormat="1" x14ac:dyDescent="0.15">
      <c r="A192" s="379"/>
      <c r="B192" s="379"/>
      <c r="C192" s="379"/>
      <c r="D192" s="379"/>
      <c r="E192" s="379"/>
      <c r="F192" s="378"/>
      <c r="H192" s="375"/>
      <c r="I192" s="375"/>
      <c r="J192" s="375"/>
      <c r="K192" s="375"/>
      <c r="L192" s="375"/>
      <c r="M192" s="375"/>
      <c r="N192" s="375"/>
      <c r="O192" s="375"/>
      <c r="P192" s="374"/>
      <c r="Q192" s="374"/>
      <c r="R192" s="374"/>
      <c r="S192" s="373"/>
      <c r="T192" s="373"/>
      <c r="U192" s="373"/>
      <c r="V192" s="373"/>
      <c r="W192" s="373"/>
      <c r="X192" s="373"/>
      <c r="Y192" s="373"/>
      <c r="Z192" s="373"/>
      <c r="AA192" s="373"/>
      <c r="AB192" s="373"/>
      <c r="AC192" s="373"/>
      <c r="AD192" s="373"/>
      <c r="AE192" s="373"/>
      <c r="AF192" s="373"/>
      <c r="AG192" s="373"/>
      <c r="AH192" s="373"/>
      <c r="AI192" s="373"/>
      <c r="AJ192" s="373"/>
      <c r="AK192" s="373"/>
      <c r="AL192" s="373"/>
      <c r="AM192" s="373"/>
      <c r="AN192" s="373"/>
      <c r="AO192" s="373"/>
      <c r="AP192" s="373"/>
      <c r="AQ192" s="373"/>
      <c r="AR192" s="373"/>
      <c r="AS192" s="373"/>
      <c r="AT192" s="373"/>
      <c r="AU192" s="373"/>
      <c r="AV192" s="373"/>
      <c r="AW192" s="373"/>
      <c r="AX192" s="373"/>
      <c r="AY192" s="373"/>
      <c r="AZ192" s="373"/>
      <c r="BA192" s="373"/>
      <c r="BB192" s="373"/>
      <c r="BC192" s="373"/>
      <c r="BD192" s="373"/>
    </row>
    <row r="193" spans="1:56" s="377" customFormat="1" x14ac:dyDescent="0.15">
      <c r="A193" s="379"/>
      <c r="B193" s="379"/>
      <c r="C193" s="379"/>
      <c r="D193" s="379"/>
      <c r="E193" s="379"/>
      <c r="F193" s="378"/>
      <c r="H193" s="375"/>
      <c r="I193" s="375"/>
      <c r="J193" s="375"/>
      <c r="K193" s="375"/>
      <c r="L193" s="375"/>
      <c r="M193" s="375"/>
      <c r="N193" s="375"/>
      <c r="O193" s="375"/>
      <c r="P193" s="374"/>
      <c r="Q193" s="374"/>
      <c r="R193" s="374"/>
      <c r="S193" s="373"/>
      <c r="T193" s="373"/>
      <c r="U193" s="373"/>
      <c r="V193" s="373"/>
      <c r="W193" s="373"/>
      <c r="X193" s="373"/>
      <c r="Y193" s="373"/>
      <c r="Z193" s="373"/>
      <c r="AA193" s="373"/>
      <c r="AB193" s="373"/>
      <c r="AC193" s="373"/>
      <c r="AD193" s="373"/>
      <c r="AE193" s="373"/>
      <c r="AF193" s="373"/>
      <c r="AG193" s="373"/>
      <c r="AH193" s="373"/>
      <c r="AI193" s="373"/>
      <c r="AJ193" s="373"/>
      <c r="AK193" s="373"/>
      <c r="AL193" s="373"/>
      <c r="AM193" s="373"/>
      <c r="AN193" s="373"/>
      <c r="AO193" s="373"/>
      <c r="AP193" s="373"/>
      <c r="AQ193" s="373"/>
      <c r="AR193" s="373"/>
      <c r="AS193" s="373"/>
      <c r="AT193" s="373"/>
      <c r="AU193" s="373"/>
      <c r="AV193" s="373"/>
      <c r="AW193" s="373"/>
      <c r="AX193" s="373"/>
      <c r="AY193" s="373"/>
      <c r="AZ193" s="373"/>
      <c r="BA193" s="373"/>
      <c r="BB193" s="373"/>
      <c r="BC193" s="373"/>
      <c r="BD193" s="373"/>
    </row>
    <row r="194" spans="1:56" s="377" customFormat="1" x14ac:dyDescent="0.15">
      <c r="A194" s="379"/>
      <c r="B194" s="379"/>
      <c r="C194" s="379"/>
      <c r="D194" s="379"/>
      <c r="E194" s="379"/>
      <c r="F194" s="378"/>
      <c r="H194" s="375"/>
      <c r="I194" s="375"/>
      <c r="J194" s="375"/>
      <c r="K194" s="375"/>
      <c r="L194" s="375"/>
      <c r="M194" s="375"/>
      <c r="N194" s="375"/>
      <c r="O194" s="375"/>
      <c r="P194" s="374"/>
      <c r="Q194" s="374"/>
      <c r="R194" s="374"/>
      <c r="S194" s="373"/>
      <c r="T194" s="373"/>
      <c r="U194" s="373"/>
      <c r="V194" s="373"/>
      <c r="W194" s="373"/>
      <c r="X194" s="373"/>
      <c r="Y194" s="373"/>
      <c r="Z194" s="373"/>
      <c r="AA194" s="373"/>
      <c r="AB194" s="373"/>
      <c r="AC194" s="373"/>
      <c r="AD194" s="373"/>
      <c r="AE194" s="373"/>
      <c r="AF194" s="373"/>
      <c r="AG194" s="373"/>
      <c r="AH194" s="373"/>
      <c r="AI194" s="373"/>
      <c r="AJ194" s="373"/>
      <c r="AK194" s="373"/>
      <c r="AL194" s="373"/>
      <c r="AM194" s="373"/>
      <c r="AN194" s="373"/>
      <c r="AO194" s="373"/>
      <c r="AP194" s="373"/>
      <c r="AQ194" s="373"/>
      <c r="AR194" s="373"/>
      <c r="AS194" s="373"/>
      <c r="AT194" s="373"/>
      <c r="AU194" s="373"/>
      <c r="AV194" s="373"/>
      <c r="AW194" s="373"/>
      <c r="AX194" s="373"/>
      <c r="AY194" s="373"/>
      <c r="AZ194" s="373"/>
      <c r="BA194" s="373"/>
      <c r="BB194" s="373"/>
      <c r="BC194" s="373"/>
      <c r="BD194" s="373"/>
    </row>
    <row r="195" spans="1:56" s="377" customFormat="1" x14ac:dyDescent="0.15">
      <c r="A195" s="379"/>
      <c r="B195" s="379"/>
      <c r="C195" s="379"/>
      <c r="D195" s="379"/>
      <c r="E195" s="379"/>
      <c r="F195" s="378"/>
      <c r="H195" s="375"/>
      <c r="I195" s="375"/>
      <c r="J195" s="375"/>
      <c r="K195" s="375"/>
      <c r="L195" s="375"/>
      <c r="M195" s="375"/>
      <c r="N195" s="375"/>
      <c r="O195" s="375"/>
      <c r="P195" s="374"/>
      <c r="Q195" s="374"/>
      <c r="R195" s="374"/>
      <c r="S195" s="373"/>
      <c r="T195" s="373"/>
      <c r="U195" s="373"/>
      <c r="V195" s="373"/>
      <c r="W195" s="373"/>
      <c r="X195" s="373"/>
      <c r="Y195" s="373"/>
      <c r="Z195" s="373"/>
      <c r="AA195" s="373"/>
      <c r="AB195" s="373"/>
      <c r="AC195" s="373"/>
      <c r="AD195" s="373"/>
      <c r="AE195" s="373"/>
      <c r="AF195" s="373"/>
      <c r="AG195" s="373"/>
      <c r="AH195" s="373"/>
      <c r="AI195" s="373"/>
      <c r="AJ195" s="373"/>
      <c r="AK195" s="373"/>
      <c r="AL195" s="373"/>
      <c r="AM195" s="373"/>
      <c r="AN195" s="373"/>
      <c r="AO195" s="373"/>
      <c r="AP195" s="373"/>
      <c r="AQ195" s="373"/>
      <c r="AR195" s="373"/>
      <c r="AS195" s="373"/>
      <c r="AT195" s="373"/>
      <c r="AU195" s="373"/>
      <c r="AV195" s="373"/>
      <c r="AW195" s="373"/>
      <c r="AX195" s="373"/>
      <c r="AY195" s="373"/>
      <c r="AZ195" s="373"/>
      <c r="BA195" s="373"/>
      <c r="BB195" s="373"/>
      <c r="BC195" s="373"/>
      <c r="BD195" s="373"/>
    </row>
    <row r="196" spans="1:56" s="377" customFormat="1" x14ac:dyDescent="0.15">
      <c r="A196" s="379"/>
      <c r="B196" s="379"/>
      <c r="C196" s="379"/>
      <c r="D196" s="379"/>
      <c r="E196" s="379"/>
      <c r="F196" s="378"/>
      <c r="H196" s="375"/>
      <c r="I196" s="375"/>
      <c r="J196" s="375"/>
      <c r="K196" s="375"/>
      <c r="L196" s="375"/>
      <c r="M196" s="375"/>
      <c r="N196" s="375"/>
      <c r="O196" s="375"/>
      <c r="P196" s="374"/>
      <c r="Q196" s="374"/>
      <c r="R196" s="374"/>
      <c r="S196" s="373"/>
      <c r="T196" s="373"/>
      <c r="U196" s="373"/>
      <c r="V196" s="373"/>
      <c r="W196" s="373"/>
      <c r="X196" s="373"/>
      <c r="Y196" s="373"/>
      <c r="Z196" s="373"/>
      <c r="AA196" s="373"/>
      <c r="AB196" s="373"/>
      <c r="AC196" s="373"/>
      <c r="AD196" s="373"/>
      <c r="AE196" s="373"/>
      <c r="AF196" s="373"/>
      <c r="AG196" s="373"/>
      <c r="AH196" s="373"/>
      <c r="AI196" s="373"/>
      <c r="AJ196" s="373"/>
      <c r="AK196" s="373"/>
      <c r="AL196" s="373"/>
      <c r="AM196" s="373"/>
      <c r="AN196" s="373"/>
      <c r="AO196" s="373"/>
      <c r="AP196" s="373"/>
      <c r="AQ196" s="373"/>
      <c r="AR196" s="373"/>
      <c r="AS196" s="373"/>
      <c r="AT196" s="373"/>
      <c r="AU196" s="373"/>
      <c r="AV196" s="373"/>
      <c r="AW196" s="373"/>
      <c r="AX196" s="373"/>
      <c r="AY196" s="373"/>
      <c r="AZ196" s="373"/>
      <c r="BA196" s="373"/>
      <c r="BB196" s="373"/>
      <c r="BC196" s="373"/>
      <c r="BD196" s="373"/>
    </row>
    <row r="197" spans="1:56" s="377" customFormat="1" x14ac:dyDescent="0.15">
      <c r="A197" s="379"/>
      <c r="B197" s="379"/>
      <c r="C197" s="379"/>
      <c r="D197" s="379"/>
      <c r="E197" s="379"/>
      <c r="F197" s="378"/>
      <c r="H197" s="375"/>
      <c r="I197" s="375"/>
      <c r="J197" s="375"/>
      <c r="K197" s="375"/>
      <c r="L197" s="375"/>
      <c r="M197" s="375"/>
      <c r="N197" s="375"/>
      <c r="O197" s="375"/>
      <c r="P197" s="374"/>
      <c r="Q197" s="374"/>
      <c r="R197" s="374"/>
      <c r="S197" s="373"/>
      <c r="T197" s="373"/>
      <c r="U197" s="373"/>
      <c r="V197" s="373"/>
      <c r="W197" s="373"/>
      <c r="X197" s="373"/>
      <c r="Y197" s="373"/>
      <c r="Z197" s="373"/>
      <c r="AA197" s="373"/>
      <c r="AB197" s="373"/>
      <c r="AC197" s="373"/>
      <c r="AD197" s="373"/>
      <c r="AE197" s="373"/>
      <c r="AF197" s="373"/>
      <c r="AG197" s="373"/>
      <c r="AH197" s="373"/>
      <c r="AI197" s="373"/>
      <c r="AJ197" s="373"/>
      <c r="AK197" s="373"/>
      <c r="AL197" s="373"/>
      <c r="AM197" s="373"/>
      <c r="AN197" s="373"/>
      <c r="AO197" s="373"/>
      <c r="AP197" s="373"/>
      <c r="AQ197" s="373"/>
      <c r="AR197" s="373"/>
      <c r="AS197" s="373"/>
      <c r="AT197" s="373"/>
      <c r="AU197" s="373"/>
      <c r="AV197" s="373"/>
      <c r="AW197" s="373"/>
      <c r="AX197" s="373"/>
      <c r="AY197" s="373"/>
      <c r="AZ197" s="373"/>
      <c r="BA197" s="373"/>
      <c r="BB197" s="373"/>
      <c r="BC197" s="373"/>
      <c r="BD197" s="373"/>
    </row>
    <row r="198" spans="1:56" s="377" customFormat="1" x14ac:dyDescent="0.15">
      <c r="A198" s="379"/>
      <c r="B198" s="379"/>
      <c r="C198" s="379"/>
      <c r="D198" s="379"/>
      <c r="E198" s="379"/>
      <c r="F198" s="378"/>
      <c r="H198" s="375"/>
      <c r="I198" s="375"/>
      <c r="J198" s="375"/>
      <c r="K198" s="375"/>
      <c r="L198" s="375"/>
      <c r="M198" s="375"/>
      <c r="N198" s="375"/>
      <c r="O198" s="375"/>
      <c r="P198" s="374"/>
      <c r="Q198" s="374"/>
      <c r="R198" s="374"/>
      <c r="S198" s="373"/>
      <c r="T198" s="373"/>
      <c r="U198" s="373"/>
      <c r="V198" s="373"/>
      <c r="W198" s="373"/>
      <c r="X198" s="373"/>
      <c r="Y198" s="373"/>
      <c r="Z198" s="373"/>
      <c r="AA198" s="373"/>
      <c r="AB198" s="373"/>
      <c r="AC198" s="373"/>
      <c r="AD198" s="373"/>
      <c r="AE198" s="373"/>
      <c r="AF198" s="373"/>
      <c r="AG198" s="373"/>
      <c r="AH198" s="373"/>
      <c r="AI198" s="373"/>
      <c r="AJ198" s="373"/>
      <c r="AK198" s="373"/>
      <c r="AL198" s="373"/>
      <c r="AM198" s="373"/>
      <c r="AN198" s="373"/>
      <c r="AO198" s="373"/>
      <c r="AP198" s="373"/>
      <c r="AQ198" s="373"/>
      <c r="AR198" s="373"/>
      <c r="AS198" s="373"/>
      <c r="AT198" s="373"/>
      <c r="AU198" s="373"/>
      <c r="AV198" s="373"/>
      <c r="AW198" s="373"/>
      <c r="AX198" s="373"/>
      <c r="AY198" s="373"/>
      <c r="AZ198" s="373"/>
      <c r="BA198" s="373"/>
      <c r="BB198" s="373"/>
      <c r="BC198" s="373"/>
      <c r="BD198" s="373"/>
    </row>
    <row r="199" spans="1:56" s="377" customFormat="1" x14ac:dyDescent="0.15">
      <c r="A199" s="379"/>
      <c r="B199" s="379"/>
      <c r="C199" s="379"/>
      <c r="D199" s="379"/>
      <c r="E199" s="379"/>
      <c r="F199" s="378"/>
      <c r="H199" s="375"/>
      <c r="I199" s="375"/>
      <c r="J199" s="375"/>
      <c r="K199" s="375"/>
      <c r="L199" s="375"/>
      <c r="M199" s="375"/>
      <c r="N199" s="375"/>
      <c r="O199" s="375"/>
      <c r="P199" s="374"/>
      <c r="Q199" s="374"/>
      <c r="R199" s="374"/>
      <c r="S199" s="373"/>
      <c r="T199" s="373"/>
      <c r="U199" s="373"/>
      <c r="V199" s="373"/>
      <c r="W199" s="373"/>
      <c r="X199" s="373"/>
      <c r="Y199" s="373"/>
      <c r="Z199" s="373"/>
      <c r="AA199" s="373"/>
      <c r="AB199" s="373"/>
      <c r="AC199" s="373"/>
      <c r="AD199" s="373"/>
      <c r="AE199" s="373"/>
      <c r="AF199" s="373"/>
      <c r="AG199" s="373"/>
      <c r="AH199" s="373"/>
      <c r="AI199" s="373"/>
      <c r="AJ199" s="373"/>
      <c r="AK199" s="373"/>
      <c r="AL199" s="373"/>
      <c r="AM199" s="373"/>
      <c r="AN199" s="373"/>
      <c r="AO199" s="373"/>
      <c r="AP199" s="373"/>
      <c r="AQ199" s="373"/>
      <c r="AR199" s="373"/>
      <c r="AS199" s="373"/>
      <c r="AT199" s="373"/>
      <c r="AU199" s="373"/>
      <c r="AV199" s="373"/>
      <c r="AW199" s="373"/>
      <c r="AX199" s="373"/>
      <c r="AY199" s="373"/>
      <c r="AZ199" s="373"/>
      <c r="BA199" s="373"/>
      <c r="BB199" s="373"/>
      <c r="BC199" s="373"/>
      <c r="BD199" s="373"/>
    </row>
    <row r="200" spans="1:56" s="377" customFormat="1" x14ac:dyDescent="0.15">
      <c r="A200" s="379"/>
      <c r="B200" s="379"/>
      <c r="C200" s="379"/>
      <c r="D200" s="379"/>
      <c r="E200" s="379"/>
      <c r="F200" s="378"/>
      <c r="H200" s="375"/>
      <c r="I200" s="375"/>
      <c r="J200" s="375"/>
      <c r="K200" s="375"/>
      <c r="L200" s="375"/>
      <c r="M200" s="375"/>
      <c r="N200" s="375"/>
      <c r="O200" s="375"/>
      <c r="P200" s="374"/>
      <c r="Q200" s="374"/>
      <c r="R200" s="374"/>
      <c r="S200" s="373"/>
      <c r="T200" s="373"/>
      <c r="U200" s="373"/>
      <c r="V200" s="373"/>
      <c r="W200" s="373"/>
      <c r="X200" s="373"/>
      <c r="Y200" s="373"/>
      <c r="Z200" s="373"/>
      <c r="AA200" s="373"/>
      <c r="AB200" s="373"/>
      <c r="AC200" s="373"/>
      <c r="AD200" s="373"/>
      <c r="AE200" s="373"/>
      <c r="AF200" s="373"/>
      <c r="AG200" s="373"/>
      <c r="AH200" s="373"/>
      <c r="AI200" s="373"/>
      <c r="AJ200" s="373"/>
      <c r="AK200" s="373"/>
      <c r="AL200" s="373"/>
      <c r="AM200" s="373"/>
      <c r="AN200" s="373"/>
      <c r="AO200" s="373"/>
      <c r="AP200" s="373"/>
      <c r="AQ200" s="373"/>
      <c r="AR200" s="373"/>
      <c r="AS200" s="373"/>
      <c r="AT200" s="373"/>
      <c r="AU200" s="373"/>
      <c r="AV200" s="373"/>
      <c r="AW200" s="373"/>
      <c r="AX200" s="373"/>
      <c r="AY200" s="373"/>
      <c r="AZ200" s="373"/>
      <c r="BA200" s="373"/>
      <c r="BB200" s="373"/>
      <c r="BC200" s="373"/>
      <c r="BD200" s="373"/>
    </row>
    <row r="201" spans="1:56" s="377" customFormat="1" x14ac:dyDescent="0.15">
      <c r="A201" s="379"/>
      <c r="B201" s="379"/>
      <c r="C201" s="379"/>
      <c r="D201" s="379"/>
      <c r="E201" s="379"/>
      <c r="F201" s="378"/>
      <c r="H201" s="375"/>
      <c r="I201" s="375"/>
      <c r="J201" s="375"/>
      <c r="K201" s="375"/>
      <c r="L201" s="375"/>
      <c r="M201" s="375"/>
      <c r="N201" s="375"/>
      <c r="O201" s="375"/>
      <c r="P201" s="374"/>
      <c r="Q201" s="374"/>
      <c r="R201" s="374"/>
      <c r="S201" s="373"/>
      <c r="T201" s="373"/>
      <c r="U201" s="373"/>
      <c r="V201" s="373"/>
      <c r="W201" s="373"/>
      <c r="X201" s="373"/>
      <c r="Y201" s="373"/>
      <c r="Z201" s="373"/>
      <c r="AA201" s="373"/>
      <c r="AB201" s="373"/>
      <c r="AC201" s="373"/>
      <c r="AD201" s="373"/>
      <c r="AE201" s="373"/>
      <c r="AF201" s="373"/>
      <c r="AG201" s="373"/>
      <c r="AH201" s="373"/>
      <c r="AI201" s="373"/>
      <c r="AJ201" s="373"/>
      <c r="AK201" s="373"/>
      <c r="AL201" s="373"/>
      <c r="AM201" s="373"/>
      <c r="AN201" s="373"/>
      <c r="AO201" s="373"/>
      <c r="AP201" s="373"/>
      <c r="AQ201" s="373"/>
      <c r="AR201" s="373"/>
      <c r="AS201" s="373"/>
      <c r="AT201" s="373"/>
      <c r="AU201" s="373"/>
      <c r="AV201" s="373"/>
      <c r="AW201" s="373"/>
      <c r="AX201" s="373"/>
      <c r="AY201" s="373"/>
      <c r="AZ201" s="373"/>
      <c r="BA201" s="373"/>
      <c r="BB201" s="373"/>
      <c r="BC201" s="373"/>
      <c r="BD201" s="373"/>
    </row>
    <row r="202" spans="1:56" s="377" customFormat="1" x14ac:dyDescent="0.15">
      <c r="A202" s="379"/>
      <c r="B202" s="379"/>
      <c r="C202" s="379"/>
      <c r="D202" s="379"/>
      <c r="E202" s="379"/>
      <c r="F202" s="378"/>
      <c r="H202" s="375"/>
      <c r="I202" s="375"/>
      <c r="J202" s="375"/>
      <c r="K202" s="375"/>
      <c r="L202" s="375"/>
      <c r="M202" s="375"/>
      <c r="N202" s="375"/>
      <c r="O202" s="375"/>
      <c r="P202" s="374"/>
      <c r="Q202" s="374"/>
      <c r="R202" s="374"/>
      <c r="S202" s="373"/>
      <c r="T202" s="373"/>
      <c r="U202" s="373"/>
      <c r="V202" s="373"/>
      <c r="W202" s="373"/>
      <c r="X202" s="373"/>
      <c r="Y202" s="373"/>
      <c r="Z202" s="373"/>
      <c r="AA202" s="373"/>
      <c r="AB202" s="373"/>
      <c r="AC202" s="373"/>
      <c r="AD202" s="373"/>
      <c r="AE202" s="373"/>
      <c r="AF202" s="373"/>
      <c r="AG202" s="373"/>
      <c r="AH202" s="373"/>
      <c r="AI202" s="373"/>
      <c r="AJ202" s="373"/>
      <c r="AK202" s="373"/>
      <c r="AL202" s="373"/>
      <c r="AM202" s="373"/>
      <c r="AN202" s="373"/>
      <c r="AO202" s="373"/>
      <c r="AP202" s="373"/>
      <c r="AQ202" s="373"/>
      <c r="AR202" s="373"/>
      <c r="AS202" s="373"/>
      <c r="AT202" s="373"/>
      <c r="AU202" s="373"/>
      <c r="AV202" s="373"/>
      <c r="AW202" s="373"/>
      <c r="AX202" s="373"/>
      <c r="AY202" s="373"/>
      <c r="AZ202" s="373"/>
      <c r="BA202" s="373"/>
      <c r="BB202" s="373"/>
      <c r="BC202" s="373"/>
      <c r="BD202" s="373"/>
    </row>
    <row r="203" spans="1:56" s="377" customFormat="1" x14ac:dyDescent="0.15">
      <c r="A203" s="379"/>
      <c r="B203" s="379"/>
      <c r="C203" s="379"/>
      <c r="D203" s="379"/>
      <c r="E203" s="379"/>
      <c r="F203" s="378"/>
      <c r="H203" s="375"/>
      <c r="I203" s="375"/>
      <c r="J203" s="375"/>
      <c r="K203" s="375"/>
      <c r="L203" s="375"/>
      <c r="M203" s="375"/>
      <c r="N203" s="375"/>
      <c r="O203" s="375"/>
      <c r="P203" s="374"/>
      <c r="Q203" s="374"/>
      <c r="R203" s="374"/>
      <c r="S203" s="373"/>
      <c r="T203" s="373"/>
      <c r="U203" s="373"/>
      <c r="V203" s="373"/>
      <c r="W203" s="373"/>
      <c r="X203" s="373"/>
      <c r="Y203" s="373"/>
      <c r="Z203" s="373"/>
      <c r="AA203" s="373"/>
      <c r="AB203" s="373"/>
      <c r="AC203" s="373"/>
      <c r="AD203" s="373"/>
      <c r="AE203" s="373"/>
      <c r="AF203" s="373"/>
      <c r="AG203" s="373"/>
      <c r="AH203" s="373"/>
      <c r="AI203" s="373"/>
      <c r="AJ203" s="373"/>
      <c r="AK203" s="373"/>
      <c r="AL203" s="373"/>
      <c r="AM203" s="373"/>
      <c r="AN203" s="373"/>
      <c r="AO203" s="373"/>
      <c r="AP203" s="373"/>
      <c r="AQ203" s="373"/>
      <c r="AR203" s="373"/>
      <c r="AS203" s="373"/>
      <c r="AT203" s="373"/>
      <c r="AU203" s="373"/>
      <c r="AV203" s="373"/>
      <c r="AW203" s="373"/>
      <c r="AX203" s="373"/>
      <c r="AY203" s="373"/>
      <c r="AZ203" s="373"/>
      <c r="BA203" s="373"/>
      <c r="BB203" s="373"/>
      <c r="BC203" s="373"/>
      <c r="BD203" s="373"/>
    </row>
    <row r="204" spans="1:56" s="377" customFormat="1" x14ac:dyDescent="0.15">
      <c r="A204" s="379"/>
      <c r="B204" s="379"/>
      <c r="C204" s="379"/>
      <c r="D204" s="379"/>
      <c r="E204" s="379"/>
      <c r="F204" s="378"/>
      <c r="H204" s="375"/>
      <c r="I204" s="375"/>
      <c r="J204" s="375"/>
      <c r="K204" s="375"/>
      <c r="L204" s="375"/>
      <c r="M204" s="375"/>
      <c r="N204" s="375"/>
      <c r="O204" s="375"/>
      <c r="P204" s="374"/>
      <c r="Q204" s="374"/>
      <c r="R204" s="374"/>
      <c r="S204" s="373"/>
      <c r="T204" s="373"/>
      <c r="U204" s="373"/>
      <c r="V204" s="373"/>
      <c r="W204" s="373"/>
      <c r="X204" s="373"/>
      <c r="Y204" s="373"/>
      <c r="Z204" s="373"/>
      <c r="AA204" s="373"/>
      <c r="AB204" s="373"/>
      <c r="AC204" s="373"/>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3"/>
      <c r="AY204" s="373"/>
      <c r="AZ204" s="373"/>
      <c r="BA204" s="373"/>
      <c r="BB204" s="373"/>
      <c r="BC204" s="373"/>
      <c r="BD204" s="373"/>
    </row>
    <row r="205" spans="1:56" s="377" customFormat="1" x14ac:dyDescent="0.15">
      <c r="A205" s="379"/>
      <c r="B205" s="379"/>
      <c r="C205" s="379"/>
      <c r="D205" s="379"/>
      <c r="E205" s="379"/>
      <c r="F205" s="378"/>
      <c r="H205" s="375"/>
      <c r="I205" s="375"/>
      <c r="J205" s="375"/>
      <c r="K205" s="375"/>
      <c r="L205" s="375"/>
      <c r="M205" s="375"/>
      <c r="N205" s="375"/>
      <c r="O205" s="375"/>
      <c r="P205" s="374"/>
      <c r="Q205" s="374"/>
      <c r="R205" s="374"/>
      <c r="S205" s="373"/>
      <c r="T205" s="373"/>
      <c r="U205" s="373"/>
      <c r="V205" s="373"/>
      <c r="W205" s="373"/>
      <c r="X205" s="373"/>
      <c r="Y205" s="373"/>
      <c r="Z205" s="373"/>
      <c r="AA205" s="373"/>
      <c r="AB205" s="373"/>
      <c r="AC205" s="373"/>
      <c r="AD205" s="373"/>
      <c r="AE205" s="373"/>
      <c r="AF205" s="373"/>
      <c r="AG205" s="373"/>
      <c r="AH205" s="373"/>
      <c r="AI205" s="373"/>
      <c r="AJ205" s="373"/>
      <c r="AK205" s="373"/>
      <c r="AL205" s="373"/>
      <c r="AM205" s="373"/>
      <c r="AN205" s="373"/>
      <c r="AO205" s="373"/>
      <c r="AP205" s="373"/>
      <c r="AQ205" s="373"/>
      <c r="AR205" s="373"/>
      <c r="AS205" s="373"/>
      <c r="AT205" s="373"/>
      <c r="AU205" s="373"/>
      <c r="AV205" s="373"/>
      <c r="AW205" s="373"/>
      <c r="AX205" s="373"/>
      <c r="AY205" s="373"/>
      <c r="AZ205" s="373"/>
      <c r="BA205" s="373"/>
      <c r="BB205" s="373"/>
      <c r="BC205" s="373"/>
      <c r="BD205" s="373"/>
    </row>
    <row r="206" spans="1:56" s="377" customFormat="1" x14ac:dyDescent="0.15">
      <c r="A206" s="379"/>
      <c r="B206" s="379"/>
      <c r="C206" s="379"/>
      <c r="D206" s="379"/>
      <c r="E206" s="379"/>
      <c r="F206" s="378"/>
      <c r="H206" s="375"/>
      <c r="I206" s="375"/>
      <c r="J206" s="375"/>
      <c r="K206" s="375"/>
      <c r="L206" s="375"/>
      <c r="M206" s="375"/>
      <c r="N206" s="375"/>
      <c r="O206" s="375"/>
      <c r="P206" s="374"/>
      <c r="Q206" s="374"/>
      <c r="R206" s="374"/>
      <c r="S206" s="373"/>
      <c r="T206" s="373"/>
      <c r="U206" s="373"/>
      <c r="V206" s="373"/>
      <c r="W206" s="373"/>
      <c r="X206" s="373"/>
      <c r="Y206" s="373"/>
      <c r="Z206" s="373"/>
      <c r="AA206" s="373"/>
      <c r="AB206" s="373"/>
      <c r="AC206" s="373"/>
      <c r="AD206" s="373"/>
      <c r="AE206" s="373"/>
      <c r="AF206" s="373"/>
      <c r="AG206" s="373"/>
      <c r="AH206" s="373"/>
      <c r="AI206" s="373"/>
      <c r="AJ206" s="373"/>
      <c r="AK206" s="373"/>
      <c r="AL206" s="373"/>
      <c r="AM206" s="373"/>
      <c r="AN206" s="373"/>
      <c r="AO206" s="373"/>
      <c r="AP206" s="373"/>
      <c r="AQ206" s="373"/>
      <c r="AR206" s="373"/>
      <c r="AS206" s="373"/>
      <c r="AT206" s="373"/>
      <c r="AU206" s="373"/>
      <c r="AV206" s="373"/>
      <c r="AW206" s="373"/>
      <c r="AX206" s="373"/>
      <c r="AY206" s="373"/>
      <c r="AZ206" s="373"/>
      <c r="BA206" s="373"/>
      <c r="BB206" s="373"/>
      <c r="BC206" s="373"/>
      <c r="BD206" s="373"/>
    </row>
    <row r="207" spans="1:56" s="377" customFormat="1" x14ac:dyDescent="0.15">
      <c r="A207" s="379"/>
      <c r="B207" s="379"/>
      <c r="C207" s="379"/>
      <c r="D207" s="379"/>
      <c r="E207" s="379"/>
      <c r="F207" s="378"/>
      <c r="H207" s="375"/>
      <c r="I207" s="375"/>
      <c r="J207" s="375"/>
      <c r="K207" s="375"/>
      <c r="L207" s="375"/>
      <c r="M207" s="375"/>
      <c r="N207" s="375"/>
      <c r="O207" s="375"/>
      <c r="P207" s="374"/>
      <c r="Q207" s="374"/>
      <c r="R207" s="374"/>
      <c r="S207" s="373"/>
      <c r="T207" s="373"/>
      <c r="U207" s="373"/>
      <c r="V207" s="373"/>
      <c r="W207" s="373"/>
      <c r="X207" s="373"/>
      <c r="Y207" s="373"/>
      <c r="Z207" s="373"/>
      <c r="AA207" s="373"/>
      <c r="AB207" s="373"/>
      <c r="AC207" s="373"/>
      <c r="AD207" s="373"/>
      <c r="AE207" s="373"/>
      <c r="AF207" s="373"/>
      <c r="AG207" s="373"/>
      <c r="AH207" s="373"/>
      <c r="AI207" s="373"/>
      <c r="AJ207" s="373"/>
      <c r="AK207" s="373"/>
      <c r="AL207" s="373"/>
      <c r="AM207" s="373"/>
      <c r="AN207" s="373"/>
      <c r="AO207" s="373"/>
      <c r="AP207" s="373"/>
      <c r="AQ207" s="373"/>
      <c r="AR207" s="373"/>
      <c r="AS207" s="373"/>
      <c r="AT207" s="373"/>
      <c r="AU207" s="373"/>
      <c r="AV207" s="373"/>
      <c r="AW207" s="373"/>
      <c r="AX207" s="373"/>
      <c r="AY207" s="373"/>
      <c r="AZ207" s="373"/>
      <c r="BA207" s="373"/>
      <c r="BB207" s="373"/>
      <c r="BC207" s="373"/>
      <c r="BD207" s="373"/>
    </row>
    <row r="208" spans="1:56" s="377" customFormat="1" x14ac:dyDescent="0.15">
      <c r="A208" s="379"/>
      <c r="B208" s="379"/>
      <c r="C208" s="379"/>
      <c r="D208" s="379"/>
      <c r="E208" s="379"/>
      <c r="F208" s="378"/>
      <c r="H208" s="375"/>
      <c r="I208" s="375"/>
      <c r="J208" s="375"/>
      <c r="K208" s="375"/>
      <c r="L208" s="375"/>
      <c r="M208" s="375"/>
      <c r="N208" s="375"/>
      <c r="O208" s="375"/>
      <c r="P208" s="374"/>
      <c r="Q208" s="374"/>
      <c r="R208" s="374"/>
      <c r="S208" s="373"/>
      <c r="T208" s="373"/>
      <c r="U208" s="373"/>
      <c r="V208" s="373"/>
      <c r="W208" s="373"/>
      <c r="X208" s="373"/>
      <c r="Y208" s="373"/>
      <c r="Z208" s="373"/>
      <c r="AA208" s="373"/>
      <c r="AB208" s="373"/>
      <c r="AC208" s="373"/>
      <c r="AD208" s="373"/>
      <c r="AE208" s="373"/>
      <c r="AF208" s="373"/>
      <c r="AG208" s="373"/>
      <c r="AH208" s="373"/>
      <c r="AI208" s="373"/>
      <c r="AJ208" s="373"/>
      <c r="AK208" s="373"/>
      <c r="AL208" s="373"/>
      <c r="AM208" s="373"/>
      <c r="AN208" s="373"/>
      <c r="AO208" s="373"/>
      <c r="AP208" s="373"/>
      <c r="AQ208" s="373"/>
      <c r="AR208" s="373"/>
      <c r="AS208" s="373"/>
      <c r="AT208" s="373"/>
      <c r="AU208" s="373"/>
      <c r="AV208" s="373"/>
      <c r="AW208" s="373"/>
      <c r="AX208" s="373"/>
      <c r="AY208" s="373"/>
      <c r="AZ208" s="373"/>
      <c r="BA208" s="373"/>
      <c r="BB208" s="373"/>
      <c r="BC208" s="373"/>
      <c r="BD208" s="373"/>
    </row>
    <row r="209" spans="1:56" s="377" customFormat="1" x14ac:dyDescent="0.15">
      <c r="A209" s="379"/>
      <c r="B209" s="379"/>
      <c r="C209" s="379"/>
      <c r="D209" s="379"/>
      <c r="E209" s="379"/>
      <c r="F209" s="378"/>
      <c r="H209" s="375"/>
      <c r="I209" s="375"/>
      <c r="J209" s="375"/>
      <c r="K209" s="375"/>
      <c r="L209" s="375"/>
      <c r="M209" s="375"/>
      <c r="N209" s="375"/>
      <c r="O209" s="375"/>
      <c r="P209" s="374"/>
      <c r="Q209" s="374"/>
      <c r="R209" s="374"/>
      <c r="S209" s="373"/>
      <c r="T209" s="373"/>
      <c r="U209" s="373"/>
      <c r="V209" s="373"/>
      <c r="W209" s="373"/>
      <c r="X209" s="373"/>
      <c r="Y209" s="373"/>
      <c r="Z209" s="373"/>
      <c r="AA209" s="373"/>
      <c r="AB209" s="373"/>
      <c r="AC209" s="373"/>
      <c r="AD209" s="373"/>
      <c r="AE209" s="373"/>
      <c r="AF209" s="373"/>
      <c r="AG209" s="373"/>
      <c r="AH209" s="373"/>
      <c r="AI209" s="373"/>
      <c r="AJ209" s="373"/>
      <c r="AK209" s="373"/>
      <c r="AL209" s="373"/>
      <c r="AM209" s="373"/>
      <c r="AN209" s="373"/>
      <c r="AO209" s="373"/>
      <c r="AP209" s="373"/>
      <c r="AQ209" s="373"/>
      <c r="AR209" s="373"/>
      <c r="AS209" s="373"/>
      <c r="AT209" s="373"/>
      <c r="AU209" s="373"/>
      <c r="AV209" s="373"/>
      <c r="AW209" s="373"/>
      <c r="AX209" s="373"/>
      <c r="AY209" s="373"/>
      <c r="AZ209" s="373"/>
      <c r="BA209" s="373"/>
      <c r="BB209" s="373"/>
      <c r="BC209" s="373"/>
      <c r="BD209" s="373"/>
    </row>
    <row r="210" spans="1:56" s="377" customFormat="1" x14ac:dyDescent="0.15">
      <c r="A210" s="379"/>
      <c r="B210" s="379"/>
      <c r="C210" s="379"/>
      <c r="D210" s="379"/>
      <c r="E210" s="379"/>
      <c r="F210" s="378"/>
      <c r="H210" s="375"/>
      <c r="I210" s="375"/>
      <c r="J210" s="375"/>
      <c r="K210" s="375"/>
      <c r="L210" s="375"/>
      <c r="M210" s="375"/>
      <c r="N210" s="375"/>
      <c r="O210" s="375"/>
      <c r="P210" s="374"/>
      <c r="Q210" s="374"/>
      <c r="R210" s="374"/>
      <c r="S210" s="373"/>
      <c r="T210" s="373"/>
      <c r="U210" s="373"/>
      <c r="V210" s="373"/>
      <c r="W210" s="373"/>
      <c r="X210" s="373"/>
      <c r="Y210" s="373"/>
      <c r="Z210" s="373"/>
      <c r="AA210" s="373"/>
      <c r="AB210" s="373"/>
      <c r="AC210" s="373"/>
      <c r="AD210" s="373"/>
      <c r="AE210" s="373"/>
      <c r="AF210" s="373"/>
      <c r="AG210" s="373"/>
      <c r="AH210" s="373"/>
      <c r="AI210" s="373"/>
      <c r="AJ210" s="373"/>
      <c r="AK210" s="373"/>
      <c r="AL210" s="373"/>
      <c r="AM210" s="373"/>
      <c r="AN210" s="373"/>
      <c r="AO210" s="373"/>
      <c r="AP210" s="373"/>
      <c r="AQ210" s="373"/>
      <c r="AR210" s="373"/>
      <c r="AS210" s="373"/>
      <c r="AT210" s="373"/>
      <c r="AU210" s="373"/>
      <c r="AV210" s="373"/>
      <c r="AW210" s="373"/>
      <c r="AX210" s="373"/>
      <c r="AY210" s="373"/>
      <c r="AZ210" s="373"/>
      <c r="BA210" s="373"/>
      <c r="BB210" s="373"/>
      <c r="BC210" s="373"/>
      <c r="BD210" s="373"/>
    </row>
    <row r="211" spans="1:56" s="377" customFormat="1" x14ac:dyDescent="0.15">
      <c r="A211" s="379"/>
      <c r="B211" s="379"/>
      <c r="C211" s="379"/>
      <c r="D211" s="379"/>
      <c r="E211" s="379"/>
      <c r="F211" s="378"/>
      <c r="H211" s="375"/>
      <c r="I211" s="375"/>
      <c r="J211" s="375"/>
      <c r="K211" s="375"/>
      <c r="L211" s="375"/>
      <c r="M211" s="375"/>
      <c r="N211" s="375"/>
      <c r="O211" s="375"/>
      <c r="P211" s="374"/>
      <c r="Q211" s="374"/>
      <c r="R211" s="374"/>
      <c r="S211" s="373"/>
      <c r="T211" s="373"/>
      <c r="U211" s="373"/>
      <c r="V211" s="373"/>
      <c r="W211" s="373"/>
      <c r="X211" s="373"/>
      <c r="Y211" s="373"/>
      <c r="Z211" s="373"/>
      <c r="AA211" s="373"/>
      <c r="AB211" s="373"/>
      <c r="AC211" s="373"/>
      <c r="AD211" s="373"/>
      <c r="AE211" s="373"/>
      <c r="AF211" s="373"/>
      <c r="AG211" s="373"/>
      <c r="AH211" s="373"/>
      <c r="AI211" s="373"/>
      <c r="AJ211" s="373"/>
      <c r="AK211" s="373"/>
      <c r="AL211" s="373"/>
      <c r="AM211" s="373"/>
      <c r="AN211" s="373"/>
      <c r="AO211" s="373"/>
      <c r="AP211" s="373"/>
      <c r="AQ211" s="373"/>
      <c r="AR211" s="373"/>
      <c r="AS211" s="373"/>
      <c r="AT211" s="373"/>
      <c r="AU211" s="373"/>
      <c r="AV211" s="373"/>
      <c r="AW211" s="373"/>
      <c r="AX211" s="373"/>
      <c r="AY211" s="373"/>
      <c r="AZ211" s="373"/>
      <c r="BA211" s="373"/>
      <c r="BB211" s="373"/>
      <c r="BC211" s="373"/>
      <c r="BD211" s="373"/>
    </row>
    <row r="212" spans="1:56" s="377" customFormat="1" x14ac:dyDescent="0.15">
      <c r="A212" s="379"/>
      <c r="B212" s="379"/>
      <c r="C212" s="379"/>
      <c r="D212" s="379"/>
      <c r="E212" s="379"/>
      <c r="F212" s="378"/>
      <c r="H212" s="375"/>
      <c r="I212" s="375"/>
      <c r="J212" s="375"/>
      <c r="K212" s="375"/>
      <c r="L212" s="375"/>
      <c r="M212" s="375"/>
      <c r="N212" s="375"/>
      <c r="O212" s="375"/>
      <c r="P212" s="374"/>
      <c r="Q212" s="374"/>
      <c r="R212" s="374"/>
      <c r="S212" s="373"/>
      <c r="T212" s="373"/>
      <c r="U212" s="373"/>
      <c r="V212" s="373"/>
      <c r="W212" s="373"/>
      <c r="X212" s="373"/>
      <c r="Y212" s="373"/>
      <c r="Z212" s="373"/>
      <c r="AA212" s="373"/>
      <c r="AB212" s="373"/>
      <c r="AC212" s="373"/>
      <c r="AD212" s="373"/>
      <c r="AE212" s="373"/>
      <c r="AF212" s="373"/>
      <c r="AG212" s="373"/>
      <c r="AH212" s="373"/>
      <c r="AI212" s="373"/>
      <c r="AJ212" s="373"/>
      <c r="AK212" s="373"/>
      <c r="AL212" s="373"/>
      <c r="AM212" s="373"/>
      <c r="AN212" s="373"/>
      <c r="AO212" s="373"/>
      <c r="AP212" s="373"/>
      <c r="AQ212" s="373"/>
      <c r="AR212" s="373"/>
      <c r="AS212" s="373"/>
      <c r="AT212" s="373"/>
      <c r="AU212" s="373"/>
      <c r="AV212" s="373"/>
      <c r="AW212" s="373"/>
      <c r="AX212" s="373"/>
      <c r="AY212" s="373"/>
      <c r="AZ212" s="373"/>
      <c r="BA212" s="373"/>
      <c r="BB212" s="373"/>
      <c r="BC212" s="373"/>
      <c r="BD212" s="373"/>
    </row>
    <row r="213" spans="1:56" s="377" customFormat="1" x14ac:dyDescent="0.15">
      <c r="A213" s="379"/>
      <c r="B213" s="379"/>
      <c r="C213" s="379"/>
      <c r="D213" s="379"/>
      <c r="E213" s="379"/>
      <c r="F213" s="378"/>
      <c r="H213" s="375"/>
      <c r="I213" s="375"/>
      <c r="J213" s="375"/>
      <c r="K213" s="375"/>
      <c r="L213" s="375"/>
      <c r="M213" s="375"/>
      <c r="N213" s="375"/>
      <c r="O213" s="375"/>
      <c r="P213" s="374"/>
      <c r="Q213" s="374"/>
      <c r="R213" s="374"/>
      <c r="S213" s="373"/>
      <c r="T213" s="373"/>
      <c r="U213" s="373"/>
      <c r="V213" s="373"/>
      <c r="W213" s="373"/>
      <c r="X213" s="373"/>
      <c r="Y213" s="373"/>
      <c r="Z213" s="373"/>
      <c r="AA213" s="373"/>
      <c r="AB213" s="373"/>
      <c r="AC213" s="373"/>
      <c r="AD213" s="373"/>
      <c r="AE213" s="373"/>
      <c r="AF213" s="373"/>
      <c r="AG213" s="373"/>
      <c r="AH213" s="373"/>
      <c r="AI213" s="373"/>
      <c r="AJ213" s="373"/>
      <c r="AK213" s="373"/>
      <c r="AL213" s="373"/>
      <c r="AM213" s="373"/>
      <c r="AN213" s="373"/>
      <c r="AO213" s="373"/>
      <c r="AP213" s="373"/>
      <c r="AQ213" s="373"/>
      <c r="AR213" s="373"/>
      <c r="AS213" s="373"/>
      <c r="AT213" s="373"/>
      <c r="AU213" s="373"/>
      <c r="AV213" s="373"/>
      <c r="AW213" s="373"/>
      <c r="AX213" s="373"/>
      <c r="AY213" s="373"/>
      <c r="AZ213" s="373"/>
      <c r="BA213" s="373"/>
      <c r="BB213" s="373"/>
      <c r="BC213" s="373"/>
      <c r="BD213" s="373"/>
    </row>
    <row r="214" spans="1:56" s="377" customFormat="1" x14ac:dyDescent="0.15">
      <c r="A214" s="379"/>
      <c r="B214" s="379"/>
      <c r="C214" s="379"/>
      <c r="D214" s="379"/>
      <c r="E214" s="379"/>
      <c r="F214" s="378"/>
      <c r="H214" s="375"/>
      <c r="I214" s="375"/>
      <c r="J214" s="375"/>
      <c r="K214" s="375"/>
      <c r="L214" s="375"/>
      <c r="M214" s="375"/>
      <c r="N214" s="375"/>
      <c r="O214" s="375"/>
      <c r="P214" s="374"/>
      <c r="Q214" s="374"/>
      <c r="R214" s="374"/>
      <c r="S214" s="373"/>
      <c r="T214" s="373"/>
      <c r="U214" s="373"/>
      <c r="V214" s="373"/>
      <c r="W214" s="373"/>
      <c r="X214" s="373"/>
      <c r="Y214" s="373"/>
      <c r="Z214" s="373"/>
      <c r="AA214" s="373"/>
      <c r="AB214" s="373"/>
      <c r="AC214" s="373"/>
      <c r="AD214" s="373"/>
      <c r="AE214" s="373"/>
      <c r="AF214" s="373"/>
      <c r="AG214" s="373"/>
      <c r="AH214" s="373"/>
      <c r="AI214" s="373"/>
      <c r="AJ214" s="373"/>
      <c r="AK214" s="373"/>
      <c r="AL214" s="373"/>
      <c r="AM214" s="373"/>
      <c r="AN214" s="373"/>
      <c r="AO214" s="373"/>
      <c r="AP214" s="373"/>
      <c r="AQ214" s="373"/>
      <c r="AR214" s="373"/>
      <c r="AS214" s="373"/>
      <c r="AT214" s="373"/>
      <c r="AU214" s="373"/>
      <c r="AV214" s="373"/>
      <c r="AW214" s="373"/>
      <c r="AX214" s="373"/>
      <c r="AY214" s="373"/>
      <c r="AZ214" s="373"/>
      <c r="BA214" s="373"/>
      <c r="BB214" s="373"/>
      <c r="BC214" s="373"/>
      <c r="BD214" s="373"/>
    </row>
    <row r="215" spans="1:56" s="377" customFormat="1" x14ac:dyDescent="0.15">
      <c r="A215" s="379"/>
      <c r="B215" s="379"/>
      <c r="C215" s="379"/>
      <c r="D215" s="379"/>
      <c r="E215" s="379"/>
      <c r="F215" s="378"/>
      <c r="H215" s="375"/>
      <c r="I215" s="375"/>
      <c r="J215" s="375"/>
      <c r="K215" s="375"/>
      <c r="L215" s="375"/>
      <c r="M215" s="375"/>
      <c r="N215" s="375"/>
      <c r="O215" s="375"/>
      <c r="P215" s="374"/>
      <c r="Q215" s="374"/>
      <c r="R215" s="374"/>
      <c r="S215" s="373"/>
      <c r="T215" s="373"/>
      <c r="U215" s="373"/>
      <c r="V215" s="373"/>
      <c r="W215" s="373"/>
      <c r="X215" s="373"/>
      <c r="Y215" s="373"/>
      <c r="Z215" s="373"/>
      <c r="AA215" s="373"/>
      <c r="AB215" s="373"/>
      <c r="AC215" s="373"/>
      <c r="AD215" s="373"/>
      <c r="AE215" s="373"/>
      <c r="AF215" s="373"/>
      <c r="AG215" s="373"/>
      <c r="AH215" s="373"/>
      <c r="AI215" s="373"/>
      <c r="AJ215" s="373"/>
      <c r="AK215" s="373"/>
      <c r="AL215" s="373"/>
      <c r="AM215" s="373"/>
      <c r="AN215" s="373"/>
      <c r="AO215" s="373"/>
      <c r="AP215" s="373"/>
      <c r="AQ215" s="373"/>
      <c r="AR215" s="373"/>
      <c r="AS215" s="373"/>
      <c r="AT215" s="373"/>
      <c r="AU215" s="373"/>
      <c r="AV215" s="373"/>
      <c r="AW215" s="373"/>
      <c r="AX215" s="373"/>
      <c r="AY215" s="373"/>
      <c r="AZ215" s="373"/>
      <c r="BA215" s="373"/>
      <c r="BB215" s="373"/>
      <c r="BC215" s="373"/>
      <c r="BD215" s="373"/>
    </row>
    <row r="216" spans="1:56" s="377" customFormat="1" x14ac:dyDescent="0.15">
      <c r="A216" s="379"/>
      <c r="B216" s="379"/>
      <c r="C216" s="379"/>
      <c r="D216" s="379"/>
      <c r="E216" s="379"/>
      <c r="F216" s="378"/>
      <c r="H216" s="375"/>
      <c r="I216" s="375"/>
      <c r="J216" s="375"/>
      <c r="K216" s="375"/>
      <c r="L216" s="375"/>
      <c r="M216" s="375"/>
      <c r="N216" s="375"/>
      <c r="O216" s="375"/>
      <c r="P216" s="374"/>
      <c r="Q216" s="374"/>
      <c r="R216" s="374"/>
      <c r="S216" s="373"/>
      <c r="T216" s="373"/>
      <c r="U216" s="373"/>
      <c r="V216" s="373"/>
      <c r="W216" s="373"/>
      <c r="X216" s="373"/>
      <c r="Y216" s="373"/>
      <c r="Z216" s="373"/>
      <c r="AA216" s="373"/>
      <c r="AB216" s="373"/>
      <c r="AC216" s="373"/>
      <c r="AD216" s="373"/>
      <c r="AE216" s="373"/>
      <c r="AF216" s="373"/>
      <c r="AG216" s="373"/>
      <c r="AH216" s="373"/>
      <c r="AI216" s="373"/>
      <c r="AJ216" s="373"/>
      <c r="AK216" s="373"/>
      <c r="AL216" s="373"/>
      <c r="AM216" s="373"/>
      <c r="AN216" s="373"/>
      <c r="AO216" s="373"/>
      <c r="AP216" s="373"/>
      <c r="AQ216" s="373"/>
      <c r="AR216" s="373"/>
      <c r="AS216" s="373"/>
      <c r="AT216" s="373"/>
      <c r="AU216" s="373"/>
      <c r="AV216" s="373"/>
      <c r="AW216" s="373"/>
      <c r="AX216" s="373"/>
      <c r="AY216" s="373"/>
      <c r="AZ216" s="373"/>
      <c r="BA216" s="373"/>
      <c r="BB216" s="373"/>
      <c r="BC216" s="373"/>
      <c r="BD216" s="373"/>
    </row>
    <row r="217" spans="1:56" s="377" customFormat="1" x14ac:dyDescent="0.15">
      <c r="A217" s="379"/>
      <c r="B217" s="379"/>
      <c r="C217" s="379"/>
      <c r="D217" s="379"/>
      <c r="E217" s="379"/>
      <c r="F217" s="378"/>
      <c r="H217" s="375"/>
      <c r="I217" s="375"/>
      <c r="J217" s="375"/>
      <c r="K217" s="375"/>
      <c r="L217" s="375"/>
      <c r="M217" s="375"/>
      <c r="N217" s="375"/>
      <c r="O217" s="375"/>
      <c r="P217" s="374"/>
      <c r="Q217" s="374"/>
      <c r="R217" s="374"/>
      <c r="S217" s="373"/>
      <c r="T217" s="373"/>
      <c r="U217" s="373"/>
      <c r="V217" s="373"/>
      <c r="W217" s="373"/>
      <c r="X217" s="373"/>
      <c r="Y217" s="373"/>
      <c r="Z217" s="373"/>
      <c r="AA217" s="373"/>
      <c r="AB217" s="373"/>
      <c r="AC217" s="373"/>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3"/>
      <c r="AY217" s="373"/>
      <c r="AZ217" s="373"/>
      <c r="BA217" s="373"/>
      <c r="BB217" s="373"/>
      <c r="BC217" s="373"/>
      <c r="BD217" s="373"/>
    </row>
    <row r="218" spans="1:56" s="377" customFormat="1" x14ac:dyDescent="0.15">
      <c r="A218" s="379"/>
      <c r="B218" s="379"/>
      <c r="C218" s="379"/>
      <c r="D218" s="379"/>
      <c r="E218" s="379"/>
      <c r="F218" s="378"/>
      <c r="H218" s="375"/>
      <c r="I218" s="375"/>
      <c r="J218" s="375"/>
      <c r="K218" s="375"/>
      <c r="L218" s="375"/>
      <c r="M218" s="375"/>
      <c r="N218" s="375"/>
      <c r="O218" s="375"/>
      <c r="P218" s="374"/>
      <c r="Q218" s="374"/>
      <c r="R218" s="374"/>
      <c r="S218" s="373"/>
      <c r="T218" s="373"/>
      <c r="U218" s="373"/>
      <c r="V218" s="373"/>
      <c r="W218" s="373"/>
      <c r="X218" s="373"/>
      <c r="Y218" s="373"/>
      <c r="Z218" s="373"/>
      <c r="AA218" s="373"/>
      <c r="AB218" s="373"/>
      <c r="AC218" s="373"/>
      <c r="AD218" s="373"/>
      <c r="AE218" s="373"/>
      <c r="AF218" s="373"/>
      <c r="AG218" s="373"/>
      <c r="AH218" s="373"/>
      <c r="AI218" s="373"/>
      <c r="AJ218" s="373"/>
      <c r="AK218" s="373"/>
      <c r="AL218" s="373"/>
      <c r="AM218" s="373"/>
      <c r="AN218" s="373"/>
      <c r="AO218" s="373"/>
      <c r="AP218" s="373"/>
      <c r="AQ218" s="373"/>
      <c r="AR218" s="373"/>
      <c r="AS218" s="373"/>
      <c r="AT218" s="373"/>
      <c r="AU218" s="373"/>
      <c r="AV218" s="373"/>
      <c r="AW218" s="373"/>
      <c r="AX218" s="373"/>
      <c r="AY218" s="373"/>
      <c r="AZ218" s="373"/>
      <c r="BA218" s="373"/>
      <c r="BB218" s="373"/>
      <c r="BC218" s="373"/>
      <c r="BD218" s="373"/>
    </row>
    <row r="219" spans="1:56" s="377" customFormat="1" x14ac:dyDescent="0.15">
      <c r="A219" s="379"/>
      <c r="B219" s="379"/>
      <c r="C219" s="379"/>
      <c r="D219" s="379"/>
      <c r="E219" s="379"/>
      <c r="F219" s="378"/>
      <c r="H219" s="375"/>
      <c r="I219" s="375"/>
      <c r="J219" s="375"/>
      <c r="K219" s="375"/>
      <c r="L219" s="375"/>
      <c r="M219" s="375"/>
      <c r="N219" s="375"/>
      <c r="O219" s="375"/>
      <c r="P219" s="374"/>
      <c r="Q219" s="374"/>
      <c r="R219" s="374"/>
      <c r="S219" s="373"/>
      <c r="T219" s="373"/>
      <c r="U219" s="373"/>
      <c r="V219" s="373"/>
      <c r="W219" s="373"/>
      <c r="X219" s="373"/>
      <c r="Y219" s="373"/>
      <c r="Z219" s="373"/>
      <c r="AA219" s="373"/>
      <c r="AB219" s="373"/>
      <c r="AC219" s="373"/>
      <c r="AD219" s="373"/>
      <c r="AE219" s="373"/>
      <c r="AF219" s="373"/>
      <c r="AG219" s="373"/>
      <c r="AH219" s="373"/>
      <c r="AI219" s="373"/>
      <c r="AJ219" s="373"/>
      <c r="AK219" s="373"/>
      <c r="AL219" s="373"/>
      <c r="AM219" s="373"/>
      <c r="AN219" s="373"/>
      <c r="AO219" s="373"/>
      <c r="AP219" s="373"/>
      <c r="AQ219" s="373"/>
      <c r="AR219" s="373"/>
      <c r="AS219" s="373"/>
      <c r="AT219" s="373"/>
      <c r="AU219" s="373"/>
      <c r="AV219" s="373"/>
      <c r="AW219" s="373"/>
      <c r="AX219" s="373"/>
      <c r="AY219" s="373"/>
      <c r="AZ219" s="373"/>
      <c r="BA219" s="373"/>
      <c r="BB219" s="373"/>
      <c r="BC219" s="373"/>
      <c r="BD219" s="373"/>
    </row>
    <row r="220" spans="1:56" s="377" customFormat="1" x14ac:dyDescent="0.15">
      <c r="A220" s="379"/>
      <c r="B220" s="379"/>
      <c r="C220" s="379"/>
      <c r="D220" s="379"/>
      <c r="E220" s="379"/>
      <c r="F220" s="378"/>
      <c r="H220" s="375"/>
      <c r="I220" s="375"/>
      <c r="J220" s="375"/>
      <c r="K220" s="375"/>
      <c r="L220" s="375"/>
      <c r="M220" s="375"/>
      <c r="N220" s="375"/>
      <c r="O220" s="375"/>
      <c r="P220" s="374"/>
      <c r="Q220" s="374"/>
      <c r="R220" s="374"/>
      <c r="S220" s="373"/>
      <c r="T220" s="373"/>
      <c r="U220" s="373"/>
      <c r="V220" s="373"/>
      <c r="W220" s="373"/>
      <c r="X220" s="373"/>
      <c r="Y220" s="373"/>
      <c r="Z220" s="373"/>
      <c r="AA220" s="373"/>
      <c r="AB220" s="373"/>
      <c r="AC220" s="373"/>
      <c r="AD220" s="373"/>
      <c r="AE220" s="373"/>
      <c r="AF220" s="373"/>
      <c r="AG220" s="373"/>
      <c r="AH220" s="373"/>
      <c r="AI220" s="373"/>
      <c r="AJ220" s="373"/>
      <c r="AK220" s="373"/>
      <c r="AL220" s="373"/>
      <c r="AM220" s="373"/>
      <c r="AN220" s="373"/>
      <c r="AO220" s="373"/>
      <c r="AP220" s="373"/>
      <c r="AQ220" s="373"/>
      <c r="AR220" s="373"/>
      <c r="AS220" s="373"/>
      <c r="AT220" s="373"/>
      <c r="AU220" s="373"/>
      <c r="AV220" s="373"/>
      <c r="AW220" s="373"/>
      <c r="AX220" s="373"/>
      <c r="AY220" s="373"/>
      <c r="AZ220" s="373"/>
      <c r="BA220" s="373"/>
      <c r="BB220" s="373"/>
      <c r="BC220" s="373"/>
      <c r="BD220" s="373"/>
    </row>
    <row r="221" spans="1:56" s="377" customFormat="1" x14ac:dyDescent="0.15">
      <c r="A221" s="379"/>
      <c r="B221" s="379"/>
      <c r="C221" s="379"/>
      <c r="D221" s="379"/>
      <c r="E221" s="379"/>
      <c r="F221" s="378"/>
      <c r="H221" s="375"/>
      <c r="I221" s="375"/>
      <c r="J221" s="375"/>
      <c r="K221" s="375"/>
      <c r="L221" s="375"/>
      <c r="M221" s="375"/>
      <c r="N221" s="375"/>
      <c r="O221" s="375"/>
      <c r="P221" s="374"/>
      <c r="Q221" s="374"/>
      <c r="R221" s="374"/>
      <c r="S221" s="373"/>
      <c r="T221" s="373"/>
      <c r="U221" s="373"/>
      <c r="V221" s="373"/>
      <c r="W221" s="373"/>
      <c r="X221" s="373"/>
      <c r="Y221" s="373"/>
      <c r="Z221" s="373"/>
      <c r="AA221" s="373"/>
      <c r="AB221" s="373"/>
      <c r="AC221" s="373"/>
      <c r="AD221" s="373"/>
      <c r="AE221" s="373"/>
      <c r="AF221" s="373"/>
      <c r="AG221" s="373"/>
      <c r="AH221" s="373"/>
      <c r="AI221" s="373"/>
      <c r="AJ221" s="373"/>
      <c r="AK221" s="373"/>
      <c r="AL221" s="373"/>
      <c r="AM221" s="373"/>
      <c r="AN221" s="373"/>
      <c r="AO221" s="373"/>
      <c r="AP221" s="373"/>
      <c r="AQ221" s="373"/>
      <c r="AR221" s="373"/>
      <c r="AS221" s="373"/>
      <c r="AT221" s="373"/>
      <c r="AU221" s="373"/>
      <c r="AV221" s="373"/>
      <c r="AW221" s="373"/>
      <c r="AX221" s="373"/>
      <c r="AY221" s="373"/>
      <c r="AZ221" s="373"/>
      <c r="BA221" s="373"/>
      <c r="BB221" s="373"/>
      <c r="BC221" s="373"/>
      <c r="BD221" s="373"/>
    </row>
    <row r="222" spans="1:56" s="377" customFormat="1" x14ac:dyDescent="0.15">
      <c r="A222" s="379"/>
      <c r="B222" s="379"/>
      <c r="C222" s="379"/>
      <c r="D222" s="379"/>
      <c r="E222" s="379"/>
      <c r="F222" s="378"/>
      <c r="H222" s="375"/>
      <c r="I222" s="375"/>
      <c r="J222" s="375"/>
      <c r="K222" s="375"/>
      <c r="L222" s="375"/>
      <c r="M222" s="375"/>
      <c r="N222" s="375"/>
      <c r="O222" s="375"/>
      <c r="P222" s="374"/>
      <c r="Q222" s="374"/>
      <c r="R222" s="374"/>
      <c r="S222" s="373"/>
      <c r="T222" s="373"/>
      <c r="U222" s="373"/>
      <c r="V222" s="373"/>
      <c r="W222" s="373"/>
      <c r="X222" s="373"/>
      <c r="Y222" s="373"/>
      <c r="Z222" s="373"/>
      <c r="AA222" s="373"/>
      <c r="AB222" s="373"/>
      <c r="AC222" s="373"/>
      <c r="AD222" s="373"/>
      <c r="AE222" s="373"/>
      <c r="AF222" s="373"/>
      <c r="AG222" s="373"/>
      <c r="AH222" s="373"/>
      <c r="AI222" s="373"/>
      <c r="AJ222" s="373"/>
      <c r="AK222" s="373"/>
      <c r="AL222" s="373"/>
      <c r="AM222" s="373"/>
      <c r="AN222" s="373"/>
      <c r="AO222" s="373"/>
      <c r="AP222" s="373"/>
      <c r="AQ222" s="373"/>
      <c r="AR222" s="373"/>
      <c r="AS222" s="373"/>
      <c r="AT222" s="373"/>
      <c r="AU222" s="373"/>
      <c r="AV222" s="373"/>
      <c r="AW222" s="373"/>
      <c r="AX222" s="373"/>
      <c r="AY222" s="373"/>
      <c r="AZ222" s="373"/>
      <c r="BA222" s="373"/>
      <c r="BB222" s="373"/>
      <c r="BC222" s="373"/>
      <c r="BD222" s="373"/>
    </row>
    <row r="223" spans="1:56" s="377" customFormat="1" x14ac:dyDescent="0.15">
      <c r="A223" s="379"/>
      <c r="B223" s="379"/>
      <c r="C223" s="379"/>
      <c r="D223" s="379"/>
      <c r="E223" s="379"/>
      <c r="F223" s="378"/>
      <c r="H223" s="375"/>
      <c r="I223" s="375"/>
      <c r="J223" s="375"/>
      <c r="K223" s="375"/>
      <c r="L223" s="375"/>
      <c r="M223" s="375"/>
      <c r="N223" s="375"/>
      <c r="O223" s="375"/>
      <c r="P223" s="374"/>
      <c r="Q223" s="374"/>
      <c r="R223" s="374"/>
      <c r="S223" s="373"/>
      <c r="T223" s="373"/>
      <c r="U223" s="373"/>
      <c r="V223" s="373"/>
      <c r="W223" s="373"/>
      <c r="X223" s="373"/>
      <c r="Y223" s="373"/>
      <c r="Z223" s="373"/>
      <c r="AA223" s="373"/>
      <c r="AB223" s="373"/>
      <c r="AC223" s="373"/>
      <c r="AD223" s="373"/>
      <c r="AE223" s="373"/>
      <c r="AF223" s="373"/>
      <c r="AG223" s="373"/>
      <c r="AH223" s="373"/>
      <c r="AI223" s="373"/>
      <c r="AJ223" s="373"/>
      <c r="AK223" s="373"/>
      <c r="AL223" s="373"/>
      <c r="AM223" s="373"/>
      <c r="AN223" s="373"/>
      <c r="AO223" s="373"/>
      <c r="AP223" s="373"/>
      <c r="AQ223" s="373"/>
      <c r="AR223" s="373"/>
      <c r="AS223" s="373"/>
      <c r="AT223" s="373"/>
      <c r="AU223" s="373"/>
      <c r="AV223" s="373"/>
      <c r="AW223" s="373"/>
      <c r="AX223" s="373"/>
      <c r="AY223" s="373"/>
      <c r="AZ223" s="373"/>
      <c r="BA223" s="373"/>
      <c r="BB223" s="373"/>
      <c r="BC223" s="373"/>
      <c r="BD223" s="373"/>
    </row>
    <row r="224" spans="1:56" s="377" customFormat="1" x14ac:dyDescent="0.15">
      <c r="A224" s="379"/>
      <c r="B224" s="379"/>
      <c r="C224" s="379"/>
      <c r="D224" s="379"/>
      <c r="E224" s="379"/>
      <c r="F224" s="378"/>
      <c r="H224" s="375"/>
      <c r="I224" s="375"/>
      <c r="J224" s="375"/>
      <c r="K224" s="375"/>
      <c r="L224" s="375"/>
      <c r="M224" s="375"/>
      <c r="N224" s="375"/>
      <c r="O224" s="375"/>
      <c r="P224" s="374"/>
      <c r="Q224" s="374"/>
      <c r="R224" s="374"/>
      <c r="S224" s="373"/>
      <c r="T224" s="373"/>
      <c r="U224" s="373"/>
      <c r="V224" s="373"/>
      <c r="W224" s="373"/>
      <c r="X224" s="373"/>
      <c r="Y224" s="373"/>
      <c r="Z224" s="373"/>
      <c r="AA224" s="373"/>
      <c r="AB224" s="373"/>
      <c r="AC224" s="373"/>
      <c r="AD224" s="373"/>
      <c r="AE224" s="373"/>
      <c r="AF224" s="373"/>
      <c r="AG224" s="373"/>
      <c r="AH224" s="373"/>
      <c r="AI224" s="373"/>
      <c r="AJ224" s="373"/>
      <c r="AK224" s="373"/>
      <c r="AL224" s="373"/>
      <c r="AM224" s="373"/>
      <c r="AN224" s="373"/>
      <c r="AO224" s="373"/>
      <c r="AP224" s="373"/>
      <c r="AQ224" s="373"/>
      <c r="AR224" s="373"/>
      <c r="AS224" s="373"/>
      <c r="AT224" s="373"/>
      <c r="AU224" s="373"/>
      <c r="AV224" s="373"/>
      <c r="AW224" s="373"/>
      <c r="AX224" s="373"/>
      <c r="AY224" s="373"/>
      <c r="AZ224" s="373"/>
      <c r="BA224" s="373"/>
      <c r="BB224" s="373"/>
      <c r="BC224" s="373"/>
      <c r="BD224" s="373"/>
    </row>
    <row r="225" spans="1:56" s="377" customFormat="1" x14ac:dyDescent="0.15">
      <c r="A225" s="379"/>
      <c r="B225" s="379"/>
      <c r="C225" s="379"/>
      <c r="D225" s="379"/>
      <c r="E225" s="379"/>
      <c r="F225" s="378"/>
      <c r="H225" s="375"/>
      <c r="I225" s="375"/>
      <c r="J225" s="375"/>
      <c r="K225" s="375"/>
      <c r="L225" s="375"/>
      <c r="M225" s="375"/>
      <c r="N225" s="375"/>
      <c r="O225" s="375"/>
      <c r="P225" s="374"/>
      <c r="Q225" s="374"/>
      <c r="R225" s="374"/>
      <c r="S225" s="373"/>
      <c r="T225" s="373"/>
      <c r="U225" s="373"/>
      <c r="V225" s="373"/>
      <c r="W225" s="373"/>
      <c r="X225" s="373"/>
      <c r="Y225" s="373"/>
      <c r="Z225" s="373"/>
      <c r="AA225" s="373"/>
      <c r="AB225" s="373"/>
      <c r="AC225" s="373"/>
      <c r="AD225" s="373"/>
      <c r="AE225" s="373"/>
      <c r="AF225" s="373"/>
      <c r="AG225" s="373"/>
      <c r="AH225" s="373"/>
      <c r="AI225" s="373"/>
      <c r="AJ225" s="373"/>
      <c r="AK225" s="373"/>
      <c r="AL225" s="373"/>
      <c r="AM225" s="373"/>
      <c r="AN225" s="373"/>
      <c r="AO225" s="373"/>
      <c r="AP225" s="373"/>
      <c r="AQ225" s="373"/>
      <c r="AR225" s="373"/>
      <c r="AS225" s="373"/>
      <c r="AT225" s="373"/>
      <c r="AU225" s="373"/>
      <c r="AV225" s="373"/>
      <c r="AW225" s="373"/>
      <c r="AX225" s="373"/>
      <c r="AY225" s="373"/>
      <c r="AZ225" s="373"/>
      <c r="BA225" s="373"/>
      <c r="BB225" s="373"/>
      <c r="BC225" s="373"/>
      <c r="BD225" s="373"/>
    </row>
    <row r="226" spans="1:56" s="377" customFormat="1" x14ac:dyDescent="0.15">
      <c r="A226" s="379"/>
      <c r="B226" s="379"/>
      <c r="C226" s="379"/>
      <c r="D226" s="379"/>
      <c r="E226" s="379"/>
      <c r="F226" s="378"/>
      <c r="H226" s="375"/>
      <c r="I226" s="375"/>
      <c r="J226" s="375"/>
      <c r="K226" s="375"/>
      <c r="L226" s="375"/>
      <c r="M226" s="375"/>
      <c r="N226" s="375"/>
      <c r="O226" s="375"/>
      <c r="P226" s="374"/>
      <c r="Q226" s="374"/>
      <c r="R226" s="374"/>
      <c r="S226" s="373"/>
      <c r="T226" s="373"/>
      <c r="U226" s="373"/>
      <c r="V226" s="373"/>
      <c r="W226" s="373"/>
      <c r="X226" s="373"/>
      <c r="Y226" s="373"/>
      <c r="Z226" s="373"/>
      <c r="AA226" s="373"/>
      <c r="AB226" s="373"/>
      <c r="AC226" s="373"/>
      <c r="AD226" s="373"/>
      <c r="AE226" s="373"/>
      <c r="AF226" s="373"/>
      <c r="AG226" s="373"/>
      <c r="AH226" s="373"/>
      <c r="AI226" s="373"/>
      <c r="AJ226" s="373"/>
      <c r="AK226" s="373"/>
      <c r="AL226" s="373"/>
      <c r="AM226" s="373"/>
      <c r="AN226" s="373"/>
      <c r="AO226" s="373"/>
      <c r="AP226" s="373"/>
      <c r="AQ226" s="373"/>
      <c r="AR226" s="373"/>
      <c r="AS226" s="373"/>
      <c r="AT226" s="373"/>
      <c r="AU226" s="373"/>
      <c r="AV226" s="373"/>
      <c r="AW226" s="373"/>
      <c r="AX226" s="373"/>
      <c r="AY226" s="373"/>
      <c r="AZ226" s="373"/>
      <c r="BA226" s="373"/>
      <c r="BB226" s="373"/>
      <c r="BC226" s="373"/>
      <c r="BD226" s="373"/>
    </row>
    <row r="227" spans="1:56" s="377" customFormat="1" x14ac:dyDescent="0.15">
      <c r="A227" s="379"/>
      <c r="B227" s="379"/>
      <c r="C227" s="379"/>
      <c r="D227" s="379"/>
      <c r="E227" s="379"/>
      <c r="F227" s="378"/>
      <c r="H227" s="375"/>
      <c r="I227" s="375"/>
      <c r="J227" s="375"/>
      <c r="K227" s="375"/>
      <c r="L227" s="375"/>
      <c r="M227" s="375"/>
      <c r="N227" s="375"/>
      <c r="O227" s="375"/>
      <c r="P227" s="374"/>
      <c r="Q227" s="374"/>
      <c r="R227" s="374"/>
      <c r="S227" s="373"/>
      <c r="T227" s="373"/>
      <c r="U227" s="373"/>
      <c r="V227" s="373"/>
      <c r="W227" s="373"/>
      <c r="X227" s="373"/>
      <c r="Y227" s="373"/>
      <c r="Z227" s="373"/>
      <c r="AA227" s="373"/>
      <c r="AB227" s="373"/>
      <c r="AC227" s="373"/>
      <c r="AD227" s="373"/>
      <c r="AE227" s="373"/>
      <c r="AF227" s="373"/>
      <c r="AG227" s="373"/>
      <c r="AH227" s="373"/>
      <c r="AI227" s="373"/>
      <c r="AJ227" s="373"/>
      <c r="AK227" s="373"/>
      <c r="AL227" s="373"/>
      <c r="AM227" s="373"/>
      <c r="AN227" s="373"/>
      <c r="AO227" s="373"/>
      <c r="AP227" s="373"/>
      <c r="AQ227" s="373"/>
      <c r="AR227" s="373"/>
      <c r="AS227" s="373"/>
      <c r="AT227" s="373"/>
      <c r="AU227" s="373"/>
      <c r="AV227" s="373"/>
      <c r="AW227" s="373"/>
      <c r="AX227" s="373"/>
      <c r="AY227" s="373"/>
      <c r="AZ227" s="373"/>
      <c r="BA227" s="373"/>
      <c r="BB227" s="373"/>
      <c r="BC227" s="373"/>
      <c r="BD227" s="373"/>
    </row>
    <row r="228" spans="1:56" s="377" customFormat="1" x14ac:dyDescent="0.15">
      <c r="A228" s="379"/>
      <c r="B228" s="379"/>
      <c r="C228" s="379"/>
      <c r="D228" s="379"/>
      <c r="E228" s="379"/>
      <c r="F228" s="378"/>
      <c r="H228" s="375"/>
      <c r="I228" s="375"/>
      <c r="J228" s="375"/>
      <c r="K228" s="375"/>
      <c r="L228" s="375"/>
      <c r="M228" s="375"/>
      <c r="N228" s="375"/>
      <c r="O228" s="375"/>
      <c r="P228" s="374"/>
      <c r="Q228" s="374"/>
      <c r="R228" s="374"/>
      <c r="S228" s="373"/>
      <c r="T228" s="373"/>
      <c r="U228" s="373"/>
      <c r="V228" s="373"/>
      <c r="W228" s="373"/>
      <c r="X228" s="373"/>
      <c r="Y228" s="373"/>
      <c r="Z228" s="373"/>
      <c r="AA228" s="373"/>
      <c r="AB228" s="373"/>
      <c r="AC228" s="373"/>
      <c r="AD228" s="373"/>
      <c r="AE228" s="373"/>
      <c r="AF228" s="373"/>
      <c r="AG228" s="373"/>
      <c r="AH228" s="373"/>
      <c r="AI228" s="373"/>
      <c r="AJ228" s="373"/>
      <c r="AK228" s="373"/>
      <c r="AL228" s="373"/>
      <c r="AM228" s="373"/>
      <c r="AN228" s="373"/>
      <c r="AO228" s="373"/>
      <c r="AP228" s="373"/>
      <c r="AQ228" s="373"/>
      <c r="AR228" s="373"/>
      <c r="AS228" s="373"/>
      <c r="AT228" s="373"/>
      <c r="AU228" s="373"/>
      <c r="AV228" s="373"/>
      <c r="AW228" s="373"/>
      <c r="AX228" s="373"/>
      <c r="AY228" s="373"/>
      <c r="AZ228" s="373"/>
      <c r="BA228" s="373"/>
      <c r="BB228" s="373"/>
      <c r="BC228" s="373"/>
      <c r="BD228" s="373"/>
    </row>
    <row r="229" spans="1:56" s="377" customFormat="1" x14ac:dyDescent="0.15">
      <c r="A229" s="379"/>
      <c r="B229" s="379"/>
      <c r="C229" s="379"/>
      <c r="D229" s="379"/>
      <c r="E229" s="379"/>
      <c r="F229" s="378"/>
      <c r="H229" s="375"/>
      <c r="I229" s="375"/>
      <c r="J229" s="375"/>
      <c r="K229" s="375"/>
      <c r="L229" s="375"/>
      <c r="M229" s="375"/>
      <c r="N229" s="375"/>
      <c r="O229" s="375"/>
      <c r="P229" s="374"/>
      <c r="Q229" s="374"/>
      <c r="R229" s="374"/>
      <c r="S229" s="373"/>
      <c r="T229" s="373"/>
      <c r="U229" s="373"/>
      <c r="V229" s="373"/>
      <c r="W229" s="373"/>
      <c r="X229" s="373"/>
      <c r="Y229" s="373"/>
      <c r="Z229" s="373"/>
      <c r="AA229" s="373"/>
      <c r="AB229" s="373"/>
      <c r="AC229" s="373"/>
      <c r="AD229" s="373"/>
      <c r="AE229" s="373"/>
      <c r="AF229" s="373"/>
      <c r="AG229" s="373"/>
      <c r="AH229" s="373"/>
      <c r="AI229" s="373"/>
      <c r="AJ229" s="373"/>
      <c r="AK229" s="373"/>
      <c r="AL229" s="373"/>
      <c r="AM229" s="373"/>
      <c r="AN229" s="373"/>
      <c r="AO229" s="373"/>
      <c r="AP229" s="373"/>
      <c r="AQ229" s="373"/>
      <c r="AR229" s="373"/>
      <c r="AS229" s="373"/>
      <c r="AT229" s="373"/>
      <c r="AU229" s="373"/>
      <c r="AV229" s="373"/>
      <c r="AW229" s="373"/>
      <c r="AX229" s="373"/>
      <c r="AY229" s="373"/>
      <c r="AZ229" s="373"/>
      <c r="BA229" s="373"/>
      <c r="BB229" s="373"/>
      <c r="BC229" s="373"/>
      <c r="BD229" s="373"/>
    </row>
    <row r="230" spans="1:56" s="377" customFormat="1" x14ac:dyDescent="0.15">
      <c r="A230" s="379"/>
      <c r="B230" s="379"/>
      <c r="C230" s="379"/>
      <c r="D230" s="379"/>
      <c r="E230" s="379"/>
      <c r="F230" s="378"/>
      <c r="H230" s="375"/>
      <c r="I230" s="375"/>
      <c r="J230" s="375"/>
      <c r="K230" s="375"/>
      <c r="L230" s="375"/>
      <c r="M230" s="375"/>
      <c r="N230" s="375"/>
      <c r="O230" s="375"/>
      <c r="P230" s="374"/>
      <c r="Q230" s="374"/>
      <c r="R230" s="374"/>
      <c r="S230" s="373"/>
      <c r="T230" s="373"/>
      <c r="U230" s="373"/>
      <c r="V230" s="373"/>
      <c r="W230" s="373"/>
      <c r="X230" s="373"/>
      <c r="Y230" s="373"/>
      <c r="Z230" s="373"/>
      <c r="AA230" s="373"/>
      <c r="AB230" s="373"/>
      <c r="AC230" s="373"/>
      <c r="AD230" s="373"/>
      <c r="AE230" s="373"/>
      <c r="AF230" s="373"/>
      <c r="AG230" s="373"/>
      <c r="AH230" s="373"/>
      <c r="AI230" s="373"/>
      <c r="AJ230" s="373"/>
      <c r="AK230" s="373"/>
      <c r="AL230" s="373"/>
      <c r="AM230" s="373"/>
      <c r="AN230" s="373"/>
      <c r="AO230" s="373"/>
      <c r="AP230" s="373"/>
      <c r="AQ230" s="373"/>
      <c r="AR230" s="373"/>
      <c r="AS230" s="373"/>
      <c r="AT230" s="373"/>
      <c r="AU230" s="373"/>
      <c r="AV230" s="373"/>
      <c r="AW230" s="373"/>
      <c r="AX230" s="373"/>
      <c r="AY230" s="373"/>
      <c r="AZ230" s="373"/>
      <c r="BA230" s="373"/>
      <c r="BB230" s="373"/>
      <c r="BC230" s="373"/>
      <c r="BD230" s="373"/>
    </row>
    <row r="231" spans="1:56" s="377" customFormat="1" x14ac:dyDescent="0.15">
      <c r="A231" s="379"/>
      <c r="B231" s="379"/>
      <c r="C231" s="379"/>
      <c r="D231" s="379"/>
      <c r="E231" s="379"/>
      <c r="F231" s="378"/>
      <c r="H231" s="375"/>
      <c r="I231" s="375"/>
      <c r="J231" s="375"/>
      <c r="K231" s="375"/>
      <c r="L231" s="375"/>
      <c r="M231" s="375"/>
      <c r="N231" s="375"/>
      <c r="O231" s="375"/>
      <c r="P231" s="374"/>
      <c r="Q231" s="374"/>
      <c r="R231" s="374"/>
      <c r="S231" s="373"/>
      <c r="T231" s="373"/>
      <c r="U231" s="373"/>
      <c r="V231" s="373"/>
      <c r="W231" s="373"/>
      <c r="X231" s="373"/>
      <c r="Y231" s="373"/>
      <c r="Z231" s="373"/>
      <c r="AA231" s="373"/>
      <c r="AB231" s="373"/>
      <c r="AC231" s="373"/>
      <c r="AD231" s="373"/>
      <c r="AE231" s="373"/>
      <c r="AF231" s="373"/>
      <c r="AG231" s="373"/>
      <c r="AH231" s="373"/>
      <c r="AI231" s="373"/>
      <c r="AJ231" s="373"/>
      <c r="AK231" s="373"/>
      <c r="AL231" s="373"/>
      <c r="AM231" s="373"/>
      <c r="AN231" s="373"/>
      <c r="AO231" s="373"/>
      <c r="AP231" s="373"/>
      <c r="AQ231" s="373"/>
      <c r="AR231" s="373"/>
      <c r="AS231" s="373"/>
      <c r="AT231" s="373"/>
      <c r="AU231" s="373"/>
      <c r="AV231" s="373"/>
      <c r="AW231" s="373"/>
      <c r="AX231" s="373"/>
      <c r="AY231" s="373"/>
      <c r="AZ231" s="373"/>
      <c r="BA231" s="373"/>
      <c r="BB231" s="373"/>
      <c r="BC231" s="373"/>
      <c r="BD231" s="373"/>
    </row>
    <row r="232" spans="1:56" s="377" customFormat="1" x14ac:dyDescent="0.15">
      <c r="A232" s="379"/>
      <c r="B232" s="379"/>
      <c r="C232" s="379"/>
      <c r="D232" s="379"/>
      <c r="E232" s="379"/>
      <c r="F232" s="378"/>
      <c r="H232" s="375"/>
      <c r="I232" s="375"/>
      <c r="J232" s="375"/>
      <c r="K232" s="375"/>
      <c r="L232" s="375"/>
      <c r="M232" s="375"/>
      <c r="N232" s="375"/>
      <c r="O232" s="375"/>
      <c r="P232" s="374"/>
      <c r="Q232" s="374"/>
      <c r="R232" s="374"/>
      <c r="S232" s="373"/>
      <c r="T232" s="373"/>
      <c r="U232" s="373"/>
      <c r="V232" s="373"/>
      <c r="W232" s="373"/>
      <c r="X232" s="373"/>
      <c r="Y232" s="373"/>
      <c r="Z232" s="373"/>
      <c r="AA232" s="373"/>
      <c r="AB232" s="373"/>
      <c r="AC232" s="373"/>
      <c r="AD232" s="373"/>
      <c r="AE232" s="373"/>
      <c r="AF232" s="373"/>
      <c r="AG232" s="373"/>
      <c r="AH232" s="373"/>
      <c r="AI232" s="373"/>
      <c r="AJ232" s="373"/>
      <c r="AK232" s="373"/>
      <c r="AL232" s="373"/>
      <c r="AM232" s="373"/>
      <c r="AN232" s="373"/>
      <c r="AO232" s="373"/>
      <c r="AP232" s="373"/>
      <c r="AQ232" s="373"/>
      <c r="AR232" s="373"/>
      <c r="AS232" s="373"/>
      <c r="AT232" s="373"/>
      <c r="AU232" s="373"/>
      <c r="AV232" s="373"/>
      <c r="AW232" s="373"/>
      <c r="AX232" s="373"/>
      <c r="AY232" s="373"/>
      <c r="AZ232" s="373"/>
      <c r="BA232" s="373"/>
      <c r="BB232" s="373"/>
      <c r="BC232" s="373"/>
      <c r="BD232" s="373"/>
    </row>
    <row r="233" spans="1:56" s="377" customFormat="1" x14ac:dyDescent="0.15">
      <c r="A233" s="379"/>
      <c r="B233" s="379"/>
      <c r="C233" s="379"/>
      <c r="D233" s="379"/>
      <c r="E233" s="379"/>
      <c r="F233" s="378"/>
      <c r="H233" s="375"/>
      <c r="I233" s="375"/>
      <c r="J233" s="375"/>
      <c r="K233" s="375"/>
      <c r="L233" s="375"/>
      <c r="M233" s="375"/>
      <c r="N233" s="375"/>
      <c r="O233" s="375"/>
      <c r="P233" s="374"/>
      <c r="Q233" s="374"/>
      <c r="R233" s="374"/>
      <c r="S233" s="373"/>
      <c r="T233" s="373"/>
      <c r="U233" s="373"/>
      <c r="V233" s="373"/>
      <c r="W233" s="373"/>
      <c r="X233" s="373"/>
      <c r="Y233" s="373"/>
      <c r="Z233" s="373"/>
      <c r="AA233" s="373"/>
      <c r="AB233" s="373"/>
      <c r="AC233" s="373"/>
      <c r="AD233" s="373"/>
      <c r="AE233" s="373"/>
      <c r="AF233" s="373"/>
      <c r="AG233" s="373"/>
      <c r="AH233" s="373"/>
      <c r="AI233" s="373"/>
      <c r="AJ233" s="373"/>
      <c r="AK233" s="373"/>
      <c r="AL233" s="373"/>
      <c r="AM233" s="373"/>
      <c r="AN233" s="373"/>
      <c r="AO233" s="373"/>
      <c r="AP233" s="373"/>
      <c r="AQ233" s="373"/>
      <c r="AR233" s="373"/>
      <c r="AS233" s="373"/>
      <c r="AT233" s="373"/>
      <c r="AU233" s="373"/>
      <c r="AV233" s="373"/>
      <c r="AW233" s="373"/>
      <c r="AX233" s="373"/>
      <c r="AY233" s="373"/>
      <c r="AZ233" s="373"/>
      <c r="BA233" s="373"/>
      <c r="BB233" s="373"/>
      <c r="BC233" s="373"/>
      <c r="BD233" s="373"/>
    </row>
    <row r="234" spans="1:56" s="377" customFormat="1" x14ac:dyDescent="0.15">
      <c r="A234" s="379"/>
      <c r="B234" s="379"/>
      <c r="C234" s="379"/>
      <c r="D234" s="379"/>
      <c r="E234" s="379"/>
      <c r="F234" s="378"/>
      <c r="H234" s="375"/>
      <c r="I234" s="375"/>
      <c r="J234" s="375"/>
      <c r="K234" s="375"/>
      <c r="L234" s="375"/>
      <c r="M234" s="375"/>
      <c r="N234" s="375"/>
      <c r="O234" s="375"/>
      <c r="P234" s="374"/>
      <c r="Q234" s="374"/>
      <c r="R234" s="374"/>
      <c r="S234" s="373"/>
      <c r="T234" s="373"/>
      <c r="U234" s="373"/>
      <c r="V234" s="373"/>
      <c r="W234" s="373"/>
      <c r="X234" s="373"/>
      <c r="Y234" s="373"/>
      <c r="Z234" s="373"/>
      <c r="AA234" s="373"/>
      <c r="AB234" s="373"/>
      <c r="AC234" s="373"/>
      <c r="AD234" s="373"/>
      <c r="AE234" s="373"/>
      <c r="AF234" s="373"/>
      <c r="AG234" s="373"/>
      <c r="AH234" s="373"/>
      <c r="AI234" s="373"/>
      <c r="AJ234" s="373"/>
      <c r="AK234" s="373"/>
      <c r="AL234" s="373"/>
      <c r="AM234" s="373"/>
      <c r="AN234" s="373"/>
      <c r="AO234" s="373"/>
      <c r="AP234" s="373"/>
      <c r="AQ234" s="373"/>
      <c r="AR234" s="373"/>
      <c r="AS234" s="373"/>
      <c r="AT234" s="373"/>
      <c r="AU234" s="373"/>
      <c r="AV234" s="373"/>
      <c r="AW234" s="373"/>
      <c r="AX234" s="373"/>
      <c r="AY234" s="373"/>
      <c r="AZ234" s="373"/>
      <c r="BA234" s="373"/>
      <c r="BB234" s="373"/>
      <c r="BC234" s="373"/>
      <c r="BD234" s="373"/>
    </row>
    <row r="235" spans="1:56" s="377" customFormat="1" x14ac:dyDescent="0.15">
      <c r="A235" s="379"/>
      <c r="B235" s="379"/>
      <c r="C235" s="379"/>
      <c r="D235" s="379"/>
      <c r="E235" s="379"/>
      <c r="F235" s="378"/>
      <c r="H235" s="375"/>
      <c r="I235" s="375"/>
      <c r="J235" s="375"/>
      <c r="K235" s="375"/>
      <c r="L235" s="375"/>
      <c r="M235" s="375"/>
      <c r="N235" s="375"/>
      <c r="O235" s="375"/>
      <c r="P235" s="374"/>
      <c r="Q235" s="374"/>
      <c r="R235" s="374"/>
      <c r="S235" s="373"/>
      <c r="T235" s="373"/>
      <c r="U235" s="373"/>
      <c r="V235" s="373"/>
      <c r="W235" s="373"/>
      <c r="X235" s="373"/>
      <c r="Y235" s="373"/>
      <c r="Z235" s="373"/>
      <c r="AA235" s="373"/>
      <c r="AB235" s="373"/>
      <c r="AC235" s="373"/>
      <c r="AD235" s="373"/>
      <c r="AE235" s="373"/>
      <c r="AF235" s="373"/>
      <c r="AG235" s="373"/>
      <c r="AH235" s="373"/>
      <c r="AI235" s="373"/>
      <c r="AJ235" s="373"/>
      <c r="AK235" s="373"/>
      <c r="AL235" s="373"/>
      <c r="AM235" s="373"/>
      <c r="AN235" s="373"/>
      <c r="AO235" s="373"/>
      <c r="AP235" s="373"/>
      <c r="AQ235" s="373"/>
      <c r="AR235" s="373"/>
      <c r="AS235" s="373"/>
      <c r="AT235" s="373"/>
      <c r="AU235" s="373"/>
      <c r="AV235" s="373"/>
      <c r="AW235" s="373"/>
      <c r="AX235" s="373"/>
      <c r="AY235" s="373"/>
      <c r="AZ235" s="373"/>
      <c r="BA235" s="373"/>
      <c r="BB235" s="373"/>
      <c r="BC235" s="373"/>
      <c r="BD235" s="373"/>
    </row>
    <row r="236" spans="1:56" s="377" customFormat="1" x14ac:dyDescent="0.15">
      <c r="A236" s="379"/>
      <c r="B236" s="379"/>
      <c r="C236" s="379"/>
      <c r="D236" s="379"/>
      <c r="E236" s="379"/>
      <c r="F236" s="378"/>
      <c r="H236" s="375"/>
      <c r="I236" s="375"/>
      <c r="J236" s="375"/>
      <c r="K236" s="375"/>
      <c r="L236" s="375"/>
      <c r="M236" s="375"/>
      <c r="N236" s="375"/>
      <c r="O236" s="375"/>
      <c r="P236" s="374"/>
      <c r="Q236" s="374"/>
      <c r="R236" s="374"/>
      <c r="S236" s="373"/>
      <c r="T236" s="373"/>
      <c r="U236" s="373"/>
      <c r="V236" s="373"/>
      <c r="W236" s="373"/>
      <c r="X236" s="373"/>
      <c r="Y236" s="373"/>
      <c r="Z236" s="373"/>
      <c r="AA236" s="373"/>
      <c r="AB236" s="373"/>
      <c r="AC236" s="373"/>
      <c r="AD236" s="373"/>
      <c r="AE236" s="373"/>
      <c r="AF236" s="373"/>
      <c r="AG236" s="373"/>
      <c r="AH236" s="373"/>
      <c r="AI236" s="373"/>
      <c r="AJ236" s="373"/>
      <c r="AK236" s="373"/>
      <c r="AL236" s="373"/>
      <c r="AM236" s="373"/>
      <c r="AN236" s="373"/>
      <c r="AO236" s="373"/>
      <c r="AP236" s="373"/>
      <c r="AQ236" s="373"/>
      <c r="AR236" s="373"/>
      <c r="AS236" s="373"/>
      <c r="AT236" s="373"/>
      <c r="AU236" s="373"/>
      <c r="AV236" s="373"/>
      <c r="AW236" s="373"/>
      <c r="AX236" s="373"/>
      <c r="AY236" s="373"/>
      <c r="AZ236" s="373"/>
      <c r="BA236" s="373"/>
      <c r="BB236" s="373"/>
      <c r="BC236" s="373"/>
      <c r="BD236" s="373"/>
    </row>
    <row r="237" spans="1:56" s="377" customFormat="1" x14ac:dyDescent="0.15">
      <c r="A237" s="379"/>
      <c r="B237" s="379"/>
      <c r="C237" s="379"/>
      <c r="D237" s="379"/>
      <c r="E237" s="379"/>
      <c r="F237" s="378"/>
      <c r="H237" s="375"/>
      <c r="I237" s="375"/>
      <c r="J237" s="375"/>
      <c r="K237" s="375"/>
      <c r="L237" s="375"/>
      <c r="M237" s="375"/>
      <c r="N237" s="375"/>
      <c r="O237" s="375"/>
      <c r="P237" s="374"/>
      <c r="Q237" s="374"/>
      <c r="R237" s="374"/>
      <c r="S237" s="373"/>
      <c r="T237" s="373"/>
      <c r="U237" s="373"/>
      <c r="V237" s="373"/>
      <c r="W237" s="373"/>
      <c r="X237" s="373"/>
      <c r="Y237" s="373"/>
      <c r="Z237" s="373"/>
      <c r="AA237" s="373"/>
      <c r="AB237" s="373"/>
      <c r="AC237" s="373"/>
      <c r="AD237" s="373"/>
      <c r="AE237" s="373"/>
      <c r="AF237" s="373"/>
      <c r="AG237" s="373"/>
      <c r="AH237" s="373"/>
      <c r="AI237" s="373"/>
      <c r="AJ237" s="373"/>
      <c r="AK237" s="373"/>
      <c r="AL237" s="373"/>
      <c r="AM237" s="373"/>
      <c r="AN237" s="373"/>
      <c r="AO237" s="373"/>
      <c r="AP237" s="373"/>
      <c r="AQ237" s="373"/>
      <c r="AR237" s="373"/>
      <c r="AS237" s="373"/>
      <c r="AT237" s="373"/>
      <c r="AU237" s="373"/>
      <c r="AV237" s="373"/>
      <c r="AW237" s="373"/>
      <c r="AX237" s="373"/>
      <c r="AY237" s="373"/>
      <c r="AZ237" s="373"/>
      <c r="BA237" s="373"/>
      <c r="BB237" s="373"/>
      <c r="BC237" s="373"/>
      <c r="BD237" s="373"/>
    </row>
    <row r="238" spans="1:56" s="377" customFormat="1" x14ac:dyDescent="0.15">
      <c r="A238" s="379"/>
      <c r="B238" s="379"/>
      <c r="C238" s="379"/>
      <c r="D238" s="379"/>
      <c r="E238" s="379"/>
      <c r="F238" s="378"/>
      <c r="H238" s="375"/>
      <c r="I238" s="375"/>
      <c r="J238" s="375"/>
      <c r="K238" s="375"/>
      <c r="L238" s="375"/>
      <c r="M238" s="375"/>
      <c r="N238" s="375"/>
      <c r="O238" s="375"/>
      <c r="P238" s="374"/>
      <c r="Q238" s="374"/>
      <c r="R238" s="374"/>
      <c r="S238" s="373"/>
      <c r="T238" s="373"/>
      <c r="U238" s="373"/>
      <c r="V238" s="373"/>
      <c r="W238" s="373"/>
      <c r="X238" s="373"/>
      <c r="Y238" s="373"/>
      <c r="Z238" s="373"/>
      <c r="AA238" s="373"/>
      <c r="AB238" s="373"/>
      <c r="AC238" s="373"/>
      <c r="AD238" s="373"/>
      <c r="AE238" s="373"/>
      <c r="AF238" s="373"/>
      <c r="AG238" s="373"/>
      <c r="AH238" s="373"/>
      <c r="AI238" s="373"/>
      <c r="AJ238" s="373"/>
      <c r="AK238" s="373"/>
      <c r="AL238" s="373"/>
      <c r="AM238" s="373"/>
      <c r="AN238" s="373"/>
      <c r="AO238" s="373"/>
      <c r="AP238" s="373"/>
      <c r="AQ238" s="373"/>
      <c r="AR238" s="373"/>
      <c r="AS238" s="373"/>
      <c r="AT238" s="373"/>
      <c r="AU238" s="373"/>
      <c r="AV238" s="373"/>
      <c r="AW238" s="373"/>
      <c r="AX238" s="373"/>
      <c r="AY238" s="373"/>
      <c r="AZ238" s="373"/>
      <c r="BA238" s="373"/>
      <c r="BB238" s="373"/>
      <c r="BC238" s="373"/>
      <c r="BD238" s="373"/>
    </row>
    <row r="239" spans="1:56" s="377" customFormat="1" x14ac:dyDescent="0.15">
      <c r="A239" s="379"/>
      <c r="B239" s="379"/>
      <c r="C239" s="379"/>
      <c r="D239" s="379"/>
      <c r="E239" s="379"/>
      <c r="F239" s="378"/>
      <c r="H239" s="375"/>
      <c r="I239" s="375"/>
      <c r="J239" s="375"/>
      <c r="K239" s="375"/>
      <c r="L239" s="375"/>
      <c r="M239" s="375"/>
      <c r="N239" s="375"/>
      <c r="O239" s="375"/>
      <c r="P239" s="374"/>
      <c r="Q239" s="374"/>
      <c r="R239" s="374"/>
      <c r="S239" s="373"/>
      <c r="T239" s="373"/>
      <c r="U239" s="373"/>
      <c r="V239" s="373"/>
      <c r="W239" s="373"/>
      <c r="X239" s="373"/>
      <c r="Y239" s="373"/>
      <c r="Z239" s="373"/>
      <c r="AA239" s="373"/>
      <c r="AB239" s="373"/>
      <c r="AC239" s="373"/>
      <c r="AD239" s="373"/>
      <c r="AE239" s="373"/>
      <c r="AF239" s="373"/>
      <c r="AG239" s="373"/>
      <c r="AH239" s="373"/>
      <c r="AI239" s="373"/>
      <c r="AJ239" s="373"/>
      <c r="AK239" s="373"/>
      <c r="AL239" s="373"/>
      <c r="AM239" s="373"/>
      <c r="AN239" s="373"/>
      <c r="AO239" s="373"/>
      <c r="AP239" s="373"/>
      <c r="AQ239" s="373"/>
      <c r="AR239" s="373"/>
      <c r="AS239" s="373"/>
      <c r="AT239" s="373"/>
      <c r="AU239" s="373"/>
      <c r="AV239" s="373"/>
      <c r="AW239" s="373"/>
      <c r="AX239" s="373"/>
      <c r="AY239" s="373"/>
      <c r="AZ239" s="373"/>
      <c r="BA239" s="373"/>
      <c r="BB239" s="373"/>
      <c r="BC239" s="373"/>
      <c r="BD239" s="373"/>
    </row>
    <row r="240" spans="1:56" s="377" customFormat="1" x14ac:dyDescent="0.15">
      <c r="A240" s="379"/>
      <c r="B240" s="379"/>
      <c r="C240" s="379"/>
      <c r="D240" s="379"/>
      <c r="E240" s="379"/>
      <c r="F240" s="378"/>
      <c r="H240" s="375"/>
      <c r="I240" s="375"/>
      <c r="J240" s="375"/>
      <c r="K240" s="375"/>
      <c r="L240" s="375"/>
      <c r="M240" s="375"/>
      <c r="N240" s="375"/>
      <c r="O240" s="375"/>
      <c r="P240" s="374"/>
      <c r="Q240" s="374"/>
      <c r="R240" s="374"/>
      <c r="S240" s="373"/>
      <c r="T240" s="373"/>
      <c r="U240" s="373"/>
      <c r="V240" s="373"/>
      <c r="W240" s="373"/>
      <c r="X240" s="373"/>
      <c r="Y240" s="373"/>
      <c r="Z240" s="373"/>
      <c r="AA240" s="373"/>
      <c r="AB240" s="373"/>
      <c r="AC240" s="373"/>
      <c r="AD240" s="373"/>
      <c r="AE240" s="373"/>
      <c r="AF240" s="373"/>
      <c r="AG240" s="373"/>
      <c r="AH240" s="373"/>
      <c r="AI240" s="373"/>
      <c r="AJ240" s="373"/>
      <c r="AK240" s="373"/>
      <c r="AL240" s="373"/>
      <c r="AM240" s="373"/>
      <c r="AN240" s="373"/>
      <c r="AO240" s="373"/>
      <c r="AP240" s="373"/>
      <c r="AQ240" s="373"/>
      <c r="AR240" s="373"/>
      <c r="AS240" s="373"/>
      <c r="AT240" s="373"/>
      <c r="AU240" s="373"/>
      <c r="AV240" s="373"/>
      <c r="AW240" s="373"/>
      <c r="AX240" s="373"/>
      <c r="AY240" s="373"/>
      <c r="AZ240" s="373"/>
      <c r="BA240" s="373"/>
      <c r="BB240" s="373"/>
      <c r="BC240" s="373"/>
      <c r="BD240" s="373"/>
    </row>
    <row r="241" spans="1:56" s="377" customFormat="1" x14ac:dyDescent="0.15">
      <c r="A241" s="379"/>
      <c r="B241" s="379"/>
      <c r="C241" s="379"/>
      <c r="D241" s="379"/>
      <c r="E241" s="379"/>
      <c r="F241" s="378"/>
      <c r="H241" s="375"/>
      <c r="I241" s="375"/>
      <c r="J241" s="375"/>
      <c r="K241" s="375"/>
      <c r="L241" s="375"/>
      <c r="M241" s="375"/>
      <c r="N241" s="375"/>
      <c r="O241" s="375"/>
      <c r="P241" s="374"/>
      <c r="Q241" s="374"/>
      <c r="R241" s="374"/>
      <c r="S241" s="373"/>
      <c r="T241" s="373"/>
      <c r="U241" s="373"/>
      <c r="V241" s="373"/>
      <c r="W241" s="373"/>
      <c r="X241" s="373"/>
      <c r="Y241" s="373"/>
      <c r="Z241" s="373"/>
      <c r="AA241" s="373"/>
      <c r="AB241" s="373"/>
      <c r="AC241" s="373"/>
      <c r="AD241" s="373"/>
      <c r="AE241" s="373"/>
      <c r="AF241" s="373"/>
      <c r="AG241" s="373"/>
      <c r="AH241" s="373"/>
      <c r="AI241" s="373"/>
      <c r="AJ241" s="373"/>
      <c r="AK241" s="373"/>
      <c r="AL241" s="373"/>
      <c r="AM241" s="373"/>
      <c r="AN241" s="373"/>
      <c r="AO241" s="373"/>
      <c r="AP241" s="373"/>
      <c r="AQ241" s="373"/>
      <c r="AR241" s="373"/>
      <c r="AS241" s="373"/>
      <c r="AT241" s="373"/>
      <c r="AU241" s="373"/>
      <c r="AV241" s="373"/>
      <c r="AW241" s="373"/>
      <c r="AX241" s="373"/>
      <c r="AY241" s="373"/>
      <c r="AZ241" s="373"/>
      <c r="BA241" s="373"/>
      <c r="BB241" s="373"/>
      <c r="BC241" s="373"/>
      <c r="BD241" s="373"/>
    </row>
    <row r="242" spans="1:56" s="377" customFormat="1" x14ac:dyDescent="0.15">
      <c r="A242" s="379"/>
      <c r="B242" s="379"/>
      <c r="C242" s="379"/>
      <c r="D242" s="379"/>
      <c r="E242" s="379"/>
      <c r="F242" s="378"/>
      <c r="H242" s="375"/>
      <c r="I242" s="375"/>
      <c r="J242" s="375"/>
      <c r="K242" s="375"/>
      <c r="L242" s="375"/>
      <c r="M242" s="375"/>
      <c r="N242" s="375"/>
      <c r="O242" s="375"/>
      <c r="P242" s="374"/>
      <c r="Q242" s="374"/>
      <c r="R242" s="374"/>
      <c r="S242" s="373"/>
      <c r="T242" s="373"/>
      <c r="U242" s="373"/>
      <c r="V242" s="373"/>
      <c r="W242" s="373"/>
      <c r="X242" s="373"/>
      <c r="Y242" s="373"/>
      <c r="Z242" s="373"/>
      <c r="AA242" s="373"/>
      <c r="AB242" s="373"/>
      <c r="AC242" s="373"/>
      <c r="AD242" s="373"/>
      <c r="AE242" s="373"/>
      <c r="AF242" s="373"/>
      <c r="AG242" s="373"/>
      <c r="AH242" s="373"/>
      <c r="AI242" s="373"/>
      <c r="AJ242" s="373"/>
      <c r="AK242" s="373"/>
      <c r="AL242" s="373"/>
      <c r="AM242" s="373"/>
      <c r="AN242" s="373"/>
      <c r="AO242" s="373"/>
      <c r="AP242" s="373"/>
      <c r="AQ242" s="373"/>
      <c r="AR242" s="373"/>
      <c r="AS242" s="373"/>
      <c r="AT242" s="373"/>
      <c r="AU242" s="373"/>
      <c r="AV242" s="373"/>
      <c r="AW242" s="373"/>
      <c r="AX242" s="373"/>
      <c r="AY242" s="373"/>
      <c r="AZ242" s="373"/>
      <c r="BA242" s="373"/>
      <c r="BB242" s="373"/>
      <c r="BC242" s="373"/>
      <c r="BD242" s="373"/>
    </row>
    <row r="243" spans="1:56" s="377" customFormat="1" x14ac:dyDescent="0.15">
      <c r="A243" s="379"/>
      <c r="B243" s="379"/>
      <c r="C243" s="379"/>
      <c r="D243" s="379"/>
      <c r="E243" s="379"/>
      <c r="F243" s="378"/>
      <c r="H243" s="375"/>
      <c r="I243" s="375"/>
      <c r="J243" s="375"/>
      <c r="K243" s="375"/>
      <c r="L243" s="375"/>
      <c r="M243" s="375"/>
      <c r="N243" s="375"/>
      <c r="O243" s="375"/>
      <c r="P243" s="374"/>
      <c r="Q243" s="374"/>
      <c r="R243" s="374"/>
      <c r="S243" s="373"/>
      <c r="T243" s="373"/>
      <c r="U243" s="373"/>
      <c r="V243" s="373"/>
      <c r="W243" s="373"/>
      <c r="X243" s="373"/>
      <c r="Y243" s="373"/>
      <c r="Z243" s="373"/>
      <c r="AA243" s="373"/>
      <c r="AB243" s="373"/>
      <c r="AC243" s="373"/>
      <c r="AD243" s="373"/>
      <c r="AE243" s="373"/>
      <c r="AF243" s="373"/>
      <c r="AG243" s="373"/>
      <c r="AH243" s="373"/>
      <c r="AI243" s="373"/>
      <c r="AJ243" s="373"/>
      <c r="AK243" s="373"/>
      <c r="AL243" s="373"/>
      <c r="AM243" s="373"/>
      <c r="AN243" s="373"/>
      <c r="AO243" s="373"/>
      <c r="AP243" s="373"/>
      <c r="AQ243" s="373"/>
      <c r="AR243" s="373"/>
      <c r="AS243" s="373"/>
      <c r="AT243" s="373"/>
      <c r="AU243" s="373"/>
      <c r="AV243" s="373"/>
      <c r="AW243" s="373"/>
      <c r="AX243" s="373"/>
      <c r="AY243" s="373"/>
      <c r="AZ243" s="373"/>
      <c r="BA243" s="373"/>
      <c r="BB243" s="373"/>
      <c r="BC243" s="373"/>
      <c r="BD243" s="373"/>
    </row>
    <row r="244" spans="1:56" s="377" customFormat="1" x14ac:dyDescent="0.15">
      <c r="A244" s="379"/>
      <c r="B244" s="379"/>
      <c r="C244" s="379"/>
      <c r="D244" s="379"/>
      <c r="E244" s="379"/>
      <c r="F244" s="378"/>
      <c r="H244" s="375"/>
      <c r="I244" s="375"/>
      <c r="J244" s="375"/>
      <c r="K244" s="375"/>
      <c r="L244" s="375"/>
      <c r="M244" s="375"/>
      <c r="N244" s="375"/>
      <c r="O244" s="375"/>
      <c r="P244" s="374"/>
      <c r="Q244" s="374"/>
      <c r="R244" s="374"/>
      <c r="S244" s="373"/>
      <c r="T244" s="373"/>
      <c r="U244" s="373"/>
      <c r="V244" s="373"/>
      <c r="W244" s="373"/>
      <c r="X244" s="373"/>
      <c r="Y244" s="373"/>
      <c r="Z244" s="373"/>
      <c r="AA244" s="373"/>
      <c r="AB244" s="373"/>
      <c r="AC244" s="373"/>
      <c r="AD244" s="373"/>
      <c r="AE244" s="373"/>
      <c r="AF244" s="373"/>
      <c r="AG244" s="373"/>
      <c r="AH244" s="373"/>
      <c r="AI244" s="373"/>
      <c r="AJ244" s="373"/>
      <c r="AK244" s="373"/>
      <c r="AL244" s="373"/>
      <c r="AM244" s="373"/>
      <c r="AN244" s="373"/>
      <c r="AO244" s="373"/>
      <c r="AP244" s="373"/>
      <c r="AQ244" s="373"/>
      <c r="AR244" s="373"/>
      <c r="AS244" s="373"/>
      <c r="AT244" s="373"/>
      <c r="AU244" s="373"/>
      <c r="AV244" s="373"/>
      <c r="AW244" s="373"/>
      <c r="AX244" s="373"/>
      <c r="AY244" s="373"/>
      <c r="AZ244" s="373"/>
      <c r="BA244" s="373"/>
      <c r="BB244" s="373"/>
      <c r="BC244" s="373"/>
      <c r="BD244" s="373"/>
    </row>
    <row r="245" spans="1:56" s="377" customFormat="1" x14ac:dyDescent="0.15">
      <c r="A245" s="379"/>
      <c r="B245" s="379"/>
      <c r="C245" s="379"/>
      <c r="D245" s="379"/>
      <c r="E245" s="379"/>
      <c r="F245" s="378"/>
      <c r="H245" s="375"/>
      <c r="I245" s="375"/>
      <c r="J245" s="375"/>
      <c r="K245" s="375"/>
      <c r="L245" s="375"/>
      <c r="M245" s="375"/>
      <c r="N245" s="375"/>
      <c r="O245" s="375"/>
      <c r="P245" s="374"/>
      <c r="Q245" s="374"/>
      <c r="R245" s="374"/>
      <c r="S245" s="373"/>
      <c r="T245" s="373"/>
      <c r="U245" s="373"/>
      <c r="V245" s="373"/>
      <c r="W245" s="373"/>
      <c r="X245" s="373"/>
      <c r="Y245" s="373"/>
      <c r="Z245" s="373"/>
      <c r="AA245" s="373"/>
      <c r="AB245" s="373"/>
      <c r="AC245" s="373"/>
      <c r="AD245" s="373"/>
      <c r="AE245" s="373"/>
      <c r="AF245" s="373"/>
      <c r="AG245" s="373"/>
      <c r="AH245" s="373"/>
      <c r="AI245" s="373"/>
      <c r="AJ245" s="373"/>
      <c r="AK245" s="373"/>
      <c r="AL245" s="373"/>
      <c r="AM245" s="373"/>
      <c r="AN245" s="373"/>
      <c r="AO245" s="373"/>
      <c r="AP245" s="373"/>
      <c r="AQ245" s="373"/>
      <c r="AR245" s="373"/>
      <c r="AS245" s="373"/>
      <c r="AT245" s="373"/>
      <c r="AU245" s="373"/>
      <c r="AV245" s="373"/>
      <c r="AW245" s="373"/>
      <c r="AX245" s="373"/>
      <c r="AY245" s="373"/>
      <c r="AZ245" s="373"/>
      <c r="BA245" s="373"/>
      <c r="BB245" s="373"/>
      <c r="BC245" s="373"/>
      <c r="BD245" s="373"/>
    </row>
    <row r="246" spans="1:56" s="377" customFormat="1" x14ac:dyDescent="0.15">
      <c r="A246" s="379"/>
      <c r="B246" s="379"/>
      <c r="C246" s="379"/>
      <c r="D246" s="379"/>
      <c r="E246" s="379"/>
      <c r="F246" s="378"/>
      <c r="H246" s="375"/>
      <c r="I246" s="375"/>
      <c r="J246" s="375"/>
      <c r="K246" s="375"/>
      <c r="L246" s="375"/>
      <c r="M246" s="375"/>
      <c r="N246" s="375"/>
      <c r="O246" s="375"/>
      <c r="P246" s="374"/>
      <c r="Q246" s="374"/>
      <c r="R246" s="374"/>
      <c r="S246" s="373"/>
      <c r="T246" s="373"/>
      <c r="U246" s="373"/>
      <c r="V246" s="373"/>
      <c r="W246" s="373"/>
      <c r="X246" s="373"/>
      <c r="Y246" s="373"/>
      <c r="Z246" s="373"/>
      <c r="AA246" s="373"/>
      <c r="AB246" s="373"/>
      <c r="AC246" s="373"/>
      <c r="AD246" s="373"/>
      <c r="AE246" s="373"/>
      <c r="AF246" s="373"/>
      <c r="AG246" s="373"/>
      <c r="AH246" s="373"/>
      <c r="AI246" s="373"/>
      <c r="AJ246" s="373"/>
      <c r="AK246" s="373"/>
      <c r="AL246" s="373"/>
      <c r="AM246" s="373"/>
      <c r="AN246" s="373"/>
      <c r="AO246" s="373"/>
      <c r="AP246" s="373"/>
      <c r="AQ246" s="373"/>
      <c r="AR246" s="373"/>
      <c r="AS246" s="373"/>
      <c r="AT246" s="373"/>
      <c r="AU246" s="373"/>
      <c r="AV246" s="373"/>
      <c r="AW246" s="373"/>
      <c r="AX246" s="373"/>
      <c r="AY246" s="373"/>
      <c r="AZ246" s="373"/>
      <c r="BA246" s="373"/>
      <c r="BB246" s="373"/>
      <c r="BC246" s="373"/>
      <c r="BD246" s="373"/>
    </row>
    <row r="247" spans="1:56" s="377" customFormat="1" x14ac:dyDescent="0.15">
      <c r="A247" s="379"/>
      <c r="B247" s="379"/>
      <c r="C247" s="379"/>
      <c r="D247" s="379"/>
      <c r="E247" s="379"/>
      <c r="F247" s="378"/>
      <c r="H247" s="375"/>
      <c r="I247" s="375"/>
      <c r="J247" s="375"/>
      <c r="K247" s="375"/>
      <c r="L247" s="375"/>
      <c r="M247" s="375"/>
      <c r="N247" s="375"/>
      <c r="O247" s="375"/>
      <c r="P247" s="374"/>
      <c r="Q247" s="374"/>
      <c r="R247" s="374"/>
      <c r="S247" s="373"/>
      <c r="T247" s="373"/>
      <c r="U247" s="373"/>
      <c r="V247" s="373"/>
      <c r="W247" s="373"/>
      <c r="X247" s="373"/>
      <c r="Y247" s="373"/>
      <c r="Z247" s="373"/>
      <c r="AA247" s="373"/>
      <c r="AB247" s="373"/>
      <c r="AC247" s="373"/>
      <c r="AD247" s="373"/>
      <c r="AE247" s="373"/>
      <c r="AF247" s="373"/>
      <c r="AG247" s="373"/>
      <c r="AH247" s="373"/>
      <c r="AI247" s="373"/>
      <c r="AJ247" s="373"/>
      <c r="AK247" s="373"/>
      <c r="AL247" s="373"/>
      <c r="AM247" s="373"/>
      <c r="AN247" s="373"/>
      <c r="AO247" s="373"/>
      <c r="AP247" s="373"/>
      <c r="AQ247" s="373"/>
      <c r="AR247" s="373"/>
      <c r="AS247" s="373"/>
      <c r="AT247" s="373"/>
      <c r="AU247" s="373"/>
      <c r="AV247" s="373"/>
      <c r="AW247" s="373"/>
      <c r="AX247" s="373"/>
      <c r="AY247" s="373"/>
      <c r="AZ247" s="373"/>
      <c r="BA247" s="373"/>
      <c r="BB247" s="373"/>
      <c r="BC247" s="373"/>
      <c r="BD247" s="373"/>
    </row>
    <row r="248" spans="1:56" s="377" customFormat="1" x14ac:dyDescent="0.15">
      <c r="A248" s="379"/>
      <c r="B248" s="379"/>
      <c r="C248" s="379"/>
      <c r="D248" s="379"/>
      <c r="E248" s="379"/>
      <c r="F248" s="378"/>
      <c r="H248" s="375"/>
      <c r="I248" s="375"/>
      <c r="J248" s="375"/>
      <c r="K248" s="375"/>
      <c r="L248" s="375"/>
      <c r="M248" s="375"/>
      <c r="N248" s="375"/>
      <c r="O248" s="375"/>
      <c r="P248" s="374"/>
      <c r="Q248" s="374"/>
      <c r="R248" s="374"/>
      <c r="S248" s="373"/>
      <c r="T248" s="373"/>
      <c r="U248" s="373"/>
      <c r="V248" s="373"/>
      <c r="W248" s="373"/>
      <c r="X248" s="373"/>
      <c r="Y248" s="373"/>
      <c r="Z248" s="373"/>
      <c r="AA248" s="373"/>
      <c r="AB248" s="373"/>
      <c r="AC248" s="373"/>
      <c r="AD248" s="373"/>
      <c r="AE248" s="373"/>
      <c r="AF248" s="373"/>
      <c r="AG248" s="373"/>
      <c r="AH248" s="373"/>
      <c r="AI248" s="373"/>
      <c r="AJ248" s="373"/>
      <c r="AK248" s="373"/>
      <c r="AL248" s="373"/>
      <c r="AM248" s="373"/>
      <c r="AN248" s="373"/>
      <c r="AO248" s="373"/>
      <c r="AP248" s="373"/>
      <c r="AQ248" s="373"/>
      <c r="AR248" s="373"/>
      <c r="AS248" s="373"/>
      <c r="AT248" s="373"/>
      <c r="AU248" s="373"/>
      <c r="AV248" s="373"/>
      <c r="AW248" s="373"/>
      <c r="AX248" s="373"/>
      <c r="AY248" s="373"/>
      <c r="AZ248" s="373"/>
      <c r="BA248" s="373"/>
      <c r="BB248" s="373"/>
      <c r="BC248" s="373"/>
      <c r="BD248" s="373"/>
    </row>
    <row r="249" spans="1:56" s="377" customFormat="1" x14ac:dyDescent="0.15">
      <c r="A249" s="379"/>
      <c r="B249" s="379"/>
      <c r="C249" s="379"/>
      <c r="D249" s="379"/>
      <c r="E249" s="379"/>
      <c r="F249" s="378"/>
      <c r="H249" s="375"/>
      <c r="I249" s="375"/>
      <c r="J249" s="375"/>
      <c r="K249" s="375"/>
      <c r="L249" s="375"/>
      <c r="M249" s="375"/>
      <c r="N249" s="375"/>
      <c r="O249" s="375"/>
      <c r="P249" s="374"/>
      <c r="Q249" s="374"/>
      <c r="R249" s="374"/>
      <c r="S249" s="373"/>
      <c r="T249" s="373"/>
      <c r="U249" s="373"/>
      <c r="V249" s="373"/>
      <c r="W249" s="373"/>
      <c r="X249" s="373"/>
      <c r="Y249" s="373"/>
      <c r="Z249" s="373"/>
      <c r="AA249" s="373"/>
      <c r="AB249" s="373"/>
      <c r="AC249" s="373"/>
      <c r="AD249" s="373"/>
      <c r="AE249" s="373"/>
      <c r="AF249" s="373"/>
      <c r="AG249" s="373"/>
      <c r="AH249" s="373"/>
      <c r="AI249" s="373"/>
      <c r="AJ249" s="373"/>
      <c r="AK249" s="373"/>
      <c r="AL249" s="373"/>
      <c r="AM249" s="373"/>
      <c r="AN249" s="373"/>
      <c r="AO249" s="373"/>
      <c r="AP249" s="373"/>
      <c r="AQ249" s="373"/>
      <c r="AR249" s="373"/>
      <c r="AS249" s="373"/>
      <c r="AT249" s="373"/>
      <c r="AU249" s="373"/>
      <c r="AV249" s="373"/>
      <c r="AW249" s="373"/>
      <c r="AX249" s="373"/>
      <c r="AY249" s="373"/>
      <c r="AZ249" s="373"/>
      <c r="BA249" s="373"/>
      <c r="BB249" s="373"/>
      <c r="BC249" s="373"/>
      <c r="BD249" s="373"/>
    </row>
    <row r="250" spans="1:56" s="377" customFormat="1" x14ac:dyDescent="0.15">
      <c r="A250" s="379"/>
      <c r="B250" s="379"/>
      <c r="C250" s="379"/>
      <c r="D250" s="379"/>
      <c r="E250" s="379"/>
      <c r="F250" s="378"/>
      <c r="H250" s="375"/>
      <c r="I250" s="375"/>
      <c r="J250" s="375"/>
      <c r="K250" s="375"/>
      <c r="L250" s="375"/>
      <c r="M250" s="375"/>
      <c r="N250" s="375"/>
      <c r="O250" s="375"/>
      <c r="P250" s="374"/>
      <c r="Q250" s="374"/>
      <c r="R250" s="374"/>
      <c r="S250" s="373"/>
      <c r="T250" s="373"/>
      <c r="U250" s="373"/>
      <c r="V250" s="373"/>
      <c r="W250" s="373"/>
      <c r="X250" s="373"/>
      <c r="Y250" s="373"/>
      <c r="Z250" s="373"/>
      <c r="AA250" s="373"/>
      <c r="AB250" s="373"/>
      <c r="AC250" s="373"/>
      <c r="AD250" s="373"/>
      <c r="AE250" s="373"/>
      <c r="AF250" s="373"/>
      <c r="AG250" s="373"/>
      <c r="AH250" s="373"/>
      <c r="AI250" s="373"/>
      <c r="AJ250" s="373"/>
      <c r="AK250" s="373"/>
      <c r="AL250" s="373"/>
      <c r="AM250" s="373"/>
      <c r="AN250" s="373"/>
      <c r="AO250" s="373"/>
      <c r="AP250" s="373"/>
      <c r="AQ250" s="373"/>
      <c r="AR250" s="373"/>
      <c r="AS250" s="373"/>
      <c r="AT250" s="373"/>
      <c r="AU250" s="373"/>
      <c r="AV250" s="373"/>
      <c r="AW250" s="373"/>
      <c r="AX250" s="373"/>
      <c r="AY250" s="373"/>
      <c r="AZ250" s="373"/>
      <c r="BA250" s="373"/>
      <c r="BB250" s="373"/>
      <c r="BC250" s="373"/>
      <c r="BD250" s="373"/>
    </row>
    <row r="251" spans="1:56" s="377" customFormat="1" x14ac:dyDescent="0.15">
      <c r="A251" s="379"/>
      <c r="B251" s="379"/>
      <c r="C251" s="379"/>
      <c r="D251" s="379"/>
      <c r="E251" s="379"/>
      <c r="F251" s="378"/>
      <c r="H251" s="375"/>
      <c r="I251" s="375"/>
      <c r="J251" s="375"/>
      <c r="K251" s="375"/>
      <c r="L251" s="375"/>
      <c r="M251" s="375"/>
      <c r="N251" s="375"/>
      <c r="O251" s="375"/>
      <c r="P251" s="374"/>
      <c r="Q251" s="374"/>
      <c r="R251" s="374"/>
      <c r="S251" s="373"/>
      <c r="T251" s="373"/>
      <c r="U251" s="373"/>
      <c r="V251" s="373"/>
      <c r="W251" s="373"/>
      <c r="X251" s="373"/>
      <c r="Y251" s="373"/>
      <c r="Z251" s="373"/>
      <c r="AA251" s="373"/>
      <c r="AB251" s="373"/>
      <c r="AC251" s="373"/>
      <c r="AD251" s="373"/>
      <c r="AE251" s="373"/>
      <c r="AF251" s="373"/>
      <c r="AG251" s="373"/>
      <c r="AH251" s="373"/>
      <c r="AI251" s="373"/>
      <c r="AJ251" s="373"/>
      <c r="AK251" s="373"/>
      <c r="AL251" s="373"/>
      <c r="AM251" s="373"/>
      <c r="AN251" s="373"/>
      <c r="AO251" s="373"/>
      <c r="AP251" s="373"/>
      <c r="AQ251" s="373"/>
      <c r="AR251" s="373"/>
      <c r="AS251" s="373"/>
      <c r="AT251" s="373"/>
      <c r="AU251" s="373"/>
      <c r="AV251" s="373"/>
      <c r="AW251" s="373"/>
      <c r="AX251" s="373"/>
      <c r="AY251" s="373"/>
      <c r="AZ251" s="373"/>
      <c r="BA251" s="373"/>
      <c r="BB251" s="373"/>
      <c r="BC251" s="373"/>
      <c r="BD251" s="373"/>
    </row>
    <row r="252" spans="1:56" s="377" customFormat="1" x14ac:dyDescent="0.15">
      <c r="A252" s="379"/>
      <c r="B252" s="379"/>
      <c r="C252" s="379"/>
      <c r="D252" s="379"/>
      <c r="E252" s="379"/>
      <c r="F252" s="378"/>
      <c r="H252" s="375"/>
      <c r="I252" s="375"/>
      <c r="J252" s="375"/>
      <c r="K252" s="375"/>
      <c r="L252" s="375"/>
      <c r="M252" s="375"/>
      <c r="N252" s="375"/>
      <c r="O252" s="375"/>
      <c r="P252" s="374"/>
      <c r="Q252" s="374"/>
      <c r="R252" s="374"/>
      <c r="S252" s="373"/>
      <c r="T252" s="373"/>
      <c r="U252" s="373"/>
      <c r="V252" s="373"/>
      <c r="W252" s="373"/>
      <c r="X252" s="373"/>
      <c r="Y252" s="373"/>
      <c r="Z252" s="373"/>
      <c r="AA252" s="373"/>
      <c r="AB252" s="373"/>
      <c r="AC252" s="373"/>
      <c r="AD252" s="373"/>
      <c r="AE252" s="373"/>
      <c r="AF252" s="373"/>
      <c r="AG252" s="373"/>
      <c r="AH252" s="373"/>
      <c r="AI252" s="373"/>
      <c r="AJ252" s="373"/>
      <c r="AK252" s="373"/>
      <c r="AL252" s="373"/>
      <c r="AM252" s="373"/>
      <c r="AN252" s="373"/>
      <c r="AO252" s="373"/>
      <c r="AP252" s="373"/>
      <c r="AQ252" s="373"/>
      <c r="AR252" s="373"/>
      <c r="AS252" s="373"/>
      <c r="AT252" s="373"/>
      <c r="AU252" s="373"/>
      <c r="AV252" s="373"/>
      <c r="AW252" s="373"/>
      <c r="AX252" s="373"/>
      <c r="AY252" s="373"/>
      <c r="AZ252" s="373"/>
      <c r="BA252" s="373"/>
      <c r="BB252" s="373"/>
      <c r="BC252" s="373"/>
      <c r="BD252" s="373"/>
    </row>
    <row r="253" spans="1:56" s="377" customFormat="1" x14ac:dyDescent="0.15">
      <c r="A253" s="379"/>
      <c r="B253" s="379"/>
      <c r="C253" s="379"/>
      <c r="D253" s="379"/>
      <c r="E253" s="379"/>
      <c r="F253" s="378"/>
      <c r="H253" s="375"/>
      <c r="I253" s="375"/>
      <c r="J253" s="375"/>
      <c r="K253" s="375"/>
      <c r="L253" s="375"/>
      <c r="M253" s="375"/>
      <c r="N253" s="375"/>
      <c r="O253" s="375"/>
      <c r="P253" s="374"/>
      <c r="Q253" s="374"/>
      <c r="R253" s="374"/>
      <c r="S253" s="373"/>
      <c r="T253" s="373"/>
      <c r="U253" s="373"/>
      <c r="V253" s="373"/>
      <c r="W253" s="373"/>
      <c r="X253" s="373"/>
      <c r="Y253" s="373"/>
      <c r="Z253" s="373"/>
      <c r="AA253" s="373"/>
      <c r="AB253" s="373"/>
      <c r="AC253" s="373"/>
      <c r="AD253" s="373"/>
      <c r="AE253" s="373"/>
      <c r="AF253" s="373"/>
      <c r="AG253" s="373"/>
      <c r="AH253" s="373"/>
      <c r="AI253" s="373"/>
      <c r="AJ253" s="373"/>
      <c r="AK253" s="373"/>
      <c r="AL253" s="373"/>
      <c r="AM253" s="373"/>
      <c r="AN253" s="373"/>
      <c r="AO253" s="373"/>
      <c r="AP253" s="373"/>
      <c r="AQ253" s="373"/>
      <c r="AR253" s="373"/>
      <c r="AS253" s="373"/>
      <c r="AT253" s="373"/>
      <c r="AU253" s="373"/>
      <c r="AV253" s="373"/>
      <c r="AW253" s="373"/>
      <c r="AX253" s="373"/>
      <c r="AY253" s="373"/>
      <c r="AZ253" s="373"/>
      <c r="BA253" s="373"/>
      <c r="BB253" s="373"/>
      <c r="BC253" s="373"/>
      <c r="BD253" s="373"/>
    </row>
    <row r="254" spans="1:56" s="377" customFormat="1" x14ac:dyDescent="0.15">
      <c r="A254" s="379"/>
      <c r="B254" s="379"/>
      <c r="C254" s="379"/>
      <c r="D254" s="379"/>
      <c r="E254" s="379"/>
      <c r="F254" s="378"/>
      <c r="H254" s="375"/>
      <c r="I254" s="375"/>
      <c r="J254" s="375"/>
      <c r="K254" s="375"/>
      <c r="L254" s="375"/>
      <c r="M254" s="375"/>
      <c r="N254" s="375"/>
      <c r="O254" s="375"/>
      <c r="P254" s="374"/>
      <c r="Q254" s="374"/>
      <c r="R254" s="374"/>
      <c r="S254" s="373"/>
      <c r="T254" s="373"/>
      <c r="U254" s="373"/>
      <c r="V254" s="373"/>
      <c r="W254" s="373"/>
      <c r="X254" s="373"/>
      <c r="Y254" s="373"/>
      <c r="Z254" s="373"/>
      <c r="AA254" s="373"/>
      <c r="AB254" s="373"/>
      <c r="AC254" s="373"/>
      <c r="AD254" s="373"/>
      <c r="AE254" s="373"/>
      <c r="AF254" s="373"/>
      <c r="AG254" s="373"/>
      <c r="AH254" s="373"/>
      <c r="AI254" s="373"/>
      <c r="AJ254" s="373"/>
      <c r="AK254" s="373"/>
      <c r="AL254" s="373"/>
      <c r="AM254" s="373"/>
      <c r="AN254" s="373"/>
      <c r="AO254" s="373"/>
      <c r="AP254" s="373"/>
      <c r="AQ254" s="373"/>
      <c r="AR254" s="373"/>
      <c r="AS254" s="373"/>
      <c r="AT254" s="373"/>
      <c r="AU254" s="373"/>
      <c r="AV254" s="373"/>
      <c r="AW254" s="373"/>
      <c r="AX254" s="373"/>
      <c r="AY254" s="373"/>
      <c r="AZ254" s="373"/>
      <c r="BA254" s="373"/>
      <c r="BB254" s="373"/>
      <c r="BC254" s="373"/>
      <c r="BD254" s="373"/>
    </row>
    <row r="255" spans="1:56" s="377" customFormat="1" x14ac:dyDescent="0.15">
      <c r="A255" s="379"/>
      <c r="B255" s="379"/>
      <c r="C255" s="379"/>
      <c r="D255" s="379"/>
      <c r="E255" s="379"/>
      <c r="F255" s="378"/>
      <c r="H255" s="375"/>
      <c r="I255" s="375"/>
      <c r="J255" s="375"/>
      <c r="K255" s="375"/>
      <c r="L255" s="375"/>
      <c r="M255" s="375"/>
      <c r="N255" s="375"/>
      <c r="O255" s="375"/>
      <c r="P255" s="374"/>
      <c r="Q255" s="374"/>
      <c r="R255" s="374"/>
      <c r="S255" s="373"/>
      <c r="T255" s="373"/>
      <c r="U255" s="373"/>
      <c r="V255" s="373"/>
      <c r="W255" s="373"/>
      <c r="X255" s="373"/>
      <c r="Y255" s="373"/>
      <c r="Z255" s="373"/>
      <c r="AA255" s="373"/>
      <c r="AB255" s="373"/>
      <c r="AC255" s="373"/>
      <c r="AD255" s="373"/>
      <c r="AE255" s="373"/>
      <c r="AF255" s="373"/>
      <c r="AG255" s="373"/>
      <c r="AH255" s="373"/>
      <c r="AI255" s="373"/>
      <c r="AJ255" s="373"/>
      <c r="AK255" s="373"/>
      <c r="AL255" s="373"/>
      <c r="AM255" s="373"/>
      <c r="AN255" s="373"/>
      <c r="AO255" s="373"/>
      <c r="AP255" s="373"/>
      <c r="AQ255" s="373"/>
      <c r="AR255" s="373"/>
      <c r="AS255" s="373"/>
      <c r="AT255" s="373"/>
      <c r="AU255" s="373"/>
      <c r="AV255" s="373"/>
      <c r="AW255" s="373"/>
      <c r="AX255" s="373"/>
      <c r="AY255" s="373"/>
      <c r="AZ255" s="373"/>
      <c r="BA255" s="373"/>
      <c r="BB255" s="373"/>
      <c r="BC255" s="373"/>
      <c r="BD255" s="373"/>
    </row>
    <row r="256" spans="1:56" s="377" customFormat="1" x14ac:dyDescent="0.15">
      <c r="A256" s="379"/>
      <c r="B256" s="379"/>
      <c r="C256" s="379"/>
      <c r="D256" s="379"/>
      <c r="E256" s="379"/>
      <c r="F256" s="378"/>
      <c r="H256" s="375"/>
      <c r="I256" s="375"/>
      <c r="J256" s="375"/>
      <c r="K256" s="375"/>
      <c r="L256" s="375"/>
      <c r="M256" s="375"/>
      <c r="N256" s="375"/>
      <c r="O256" s="375"/>
      <c r="P256" s="374"/>
      <c r="Q256" s="374"/>
      <c r="R256" s="374"/>
      <c r="S256" s="373"/>
      <c r="T256" s="373"/>
      <c r="U256" s="373"/>
      <c r="V256" s="373"/>
      <c r="W256" s="373"/>
      <c r="X256" s="373"/>
      <c r="Y256" s="373"/>
      <c r="Z256" s="373"/>
      <c r="AA256" s="373"/>
      <c r="AB256" s="373"/>
      <c r="AC256" s="373"/>
      <c r="AD256" s="373"/>
      <c r="AE256" s="373"/>
      <c r="AF256" s="373"/>
      <c r="AG256" s="373"/>
      <c r="AH256" s="373"/>
      <c r="AI256" s="373"/>
      <c r="AJ256" s="373"/>
      <c r="AK256" s="373"/>
      <c r="AL256" s="373"/>
      <c r="AM256" s="373"/>
      <c r="AN256" s="373"/>
      <c r="AO256" s="373"/>
      <c r="AP256" s="373"/>
      <c r="AQ256" s="373"/>
      <c r="AR256" s="373"/>
      <c r="AS256" s="373"/>
      <c r="AT256" s="373"/>
      <c r="AU256" s="373"/>
      <c r="AV256" s="373"/>
      <c r="AW256" s="373"/>
      <c r="AX256" s="373"/>
      <c r="AY256" s="373"/>
      <c r="AZ256" s="373"/>
      <c r="BA256" s="373"/>
      <c r="BB256" s="373"/>
      <c r="BC256" s="373"/>
      <c r="BD256" s="373"/>
    </row>
    <row r="257" spans="1:56" s="377" customFormat="1" x14ac:dyDescent="0.15">
      <c r="A257" s="379"/>
      <c r="B257" s="379"/>
      <c r="C257" s="379"/>
      <c r="D257" s="379"/>
      <c r="E257" s="379"/>
      <c r="F257" s="378"/>
      <c r="H257" s="375"/>
      <c r="I257" s="375"/>
      <c r="J257" s="375"/>
      <c r="K257" s="375"/>
      <c r="L257" s="375"/>
      <c r="M257" s="375"/>
      <c r="N257" s="375"/>
      <c r="O257" s="375"/>
      <c r="P257" s="374"/>
      <c r="Q257" s="374"/>
      <c r="R257" s="374"/>
      <c r="S257" s="373"/>
      <c r="T257" s="373"/>
      <c r="U257" s="373"/>
      <c r="V257" s="373"/>
      <c r="W257" s="373"/>
      <c r="X257" s="373"/>
      <c r="Y257" s="373"/>
      <c r="Z257" s="373"/>
      <c r="AA257" s="373"/>
      <c r="AB257" s="373"/>
      <c r="AC257" s="373"/>
      <c r="AD257" s="373"/>
      <c r="AE257" s="373"/>
      <c r="AF257" s="373"/>
      <c r="AG257" s="373"/>
      <c r="AH257" s="373"/>
      <c r="AI257" s="373"/>
      <c r="AJ257" s="373"/>
      <c r="AK257" s="373"/>
      <c r="AL257" s="373"/>
      <c r="AM257" s="373"/>
      <c r="AN257" s="373"/>
      <c r="AO257" s="373"/>
      <c r="AP257" s="373"/>
      <c r="AQ257" s="373"/>
      <c r="AR257" s="373"/>
      <c r="AS257" s="373"/>
      <c r="AT257" s="373"/>
      <c r="AU257" s="373"/>
      <c r="AV257" s="373"/>
      <c r="AW257" s="373"/>
      <c r="AX257" s="373"/>
      <c r="AY257" s="373"/>
      <c r="AZ257" s="373"/>
      <c r="BA257" s="373"/>
      <c r="BB257" s="373"/>
      <c r="BC257" s="373"/>
      <c r="BD257" s="373"/>
    </row>
    <row r="258" spans="1:56" s="377" customFormat="1" x14ac:dyDescent="0.15">
      <c r="A258" s="379"/>
      <c r="B258" s="379"/>
      <c r="C258" s="379"/>
      <c r="D258" s="379"/>
      <c r="E258" s="379"/>
      <c r="F258" s="378"/>
      <c r="H258" s="375"/>
      <c r="I258" s="375"/>
      <c r="J258" s="375"/>
      <c r="K258" s="375"/>
      <c r="L258" s="375"/>
      <c r="M258" s="375"/>
      <c r="N258" s="375"/>
      <c r="O258" s="375"/>
      <c r="P258" s="374"/>
      <c r="Q258" s="374"/>
      <c r="R258" s="374"/>
      <c r="S258" s="373"/>
      <c r="T258" s="373"/>
      <c r="U258" s="373"/>
      <c r="V258" s="373"/>
      <c r="W258" s="373"/>
      <c r="X258" s="373"/>
      <c r="Y258" s="373"/>
      <c r="Z258" s="373"/>
      <c r="AA258" s="373"/>
      <c r="AB258" s="373"/>
      <c r="AC258" s="373"/>
      <c r="AD258" s="373"/>
      <c r="AE258" s="373"/>
      <c r="AF258" s="373"/>
      <c r="AG258" s="373"/>
      <c r="AH258" s="373"/>
      <c r="AI258" s="373"/>
      <c r="AJ258" s="373"/>
      <c r="AK258" s="373"/>
      <c r="AL258" s="373"/>
      <c r="AM258" s="373"/>
      <c r="AN258" s="373"/>
      <c r="AO258" s="373"/>
      <c r="AP258" s="373"/>
      <c r="AQ258" s="373"/>
      <c r="AR258" s="373"/>
      <c r="AS258" s="373"/>
      <c r="AT258" s="373"/>
      <c r="AU258" s="373"/>
      <c r="AV258" s="373"/>
      <c r="AW258" s="373"/>
      <c r="AX258" s="373"/>
      <c r="AY258" s="373"/>
      <c r="AZ258" s="373"/>
      <c r="BA258" s="373"/>
      <c r="BB258" s="373"/>
      <c r="BC258" s="373"/>
      <c r="BD258" s="373"/>
    </row>
    <row r="259" spans="1:56" s="377" customFormat="1" x14ac:dyDescent="0.15">
      <c r="A259" s="379"/>
      <c r="B259" s="379"/>
      <c r="C259" s="379"/>
      <c r="D259" s="379"/>
      <c r="E259" s="379"/>
      <c r="F259" s="378"/>
      <c r="H259" s="375"/>
      <c r="I259" s="375"/>
      <c r="J259" s="375"/>
      <c r="K259" s="375"/>
      <c r="L259" s="375"/>
      <c r="M259" s="375"/>
      <c r="N259" s="375"/>
      <c r="O259" s="375"/>
      <c r="P259" s="374"/>
      <c r="Q259" s="374"/>
      <c r="R259" s="374"/>
      <c r="S259" s="373"/>
      <c r="T259" s="373"/>
      <c r="U259" s="373"/>
      <c r="V259" s="373"/>
      <c r="W259" s="373"/>
      <c r="X259" s="373"/>
      <c r="Y259" s="373"/>
      <c r="Z259" s="373"/>
      <c r="AA259" s="373"/>
      <c r="AB259" s="373"/>
      <c r="AC259" s="373"/>
      <c r="AD259" s="373"/>
      <c r="AE259" s="373"/>
      <c r="AF259" s="373"/>
      <c r="AG259" s="373"/>
      <c r="AH259" s="373"/>
      <c r="AI259" s="373"/>
      <c r="AJ259" s="373"/>
      <c r="AK259" s="373"/>
      <c r="AL259" s="373"/>
      <c r="AM259" s="373"/>
      <c r="AN259" s="373"/>
      <c r="AO259" s="373"/>
      <c r="AP259" s="373"/>
      <c r="AQ259" s="373"/>
      <c r="AR259" s="373"/>
      <c r="AS259" s="373"/>
      <c r="AT259" s="373"/>
      <c r="AU259" s="373"/>
      <c r="AV259" s="373"/>
      <c r="AW259" s="373"/>
      <c r="AX259" s="373"/>
      <c r="AY259" s="373"/>
      <c r="AZ259" s="373"/>
      <c r="BA259" s="373"/>
      <c r="BB259" s="373"/>
      <c r="BC259" s="373"/>
      <c r="BD259" s="373"/>
    </row>
    <row r="260" spans="1:56" s="377" customFormat="1" x14ac:dyDescent="0.15">
      <c r="A260" s="379"/>
      <c r="B260" s="379"/>
      <c r="C260" s="379"/>
      <c r="D260" s="379"/>
      <c r="E260" s="379"/>
      <c r="F260" s="378"/>
      <c r="H260" s="375"/>
      <c r="I260" s="375"/>
      <c r="J260" s="375"/>
      <c r="K260" s="375"/>
      <c r="L260" s="375"/>
      <c r="M260" s="375"/>
      <c r="N260" s="375"/>
      <c r="O260" s="375"/>
      <c r="P260" s="374"/>
      <c r="Q260" s="374"/>
      <c r="R260" s="374"/>
      <c r="S260" s="373"/>
      <c r="T260" s="373"/>
      <c r="U260" s="373"/>
      <c r="V260" s="373"/>
      <c r="W260" s="373"/>
      <c r="X260" s="373"/>
      <c r="Y260" s="373"/>
      <c r="Z260" s="373"/>
      <c r="AA260" s="373"/>
      <c r="AB260" s="373"/>
      <c r="AC260" s="373"/>
      <c r="AD260" s="373"/>
      <c r="AE260" s="373"/>
      <c r="AF260" s="373"/>
      <c r="AG260" s="373"/>
      <c r="AH260" s="373"/>
      <c r="AI260" s="373"/>
      <c r="AJ260" s="373"/>
      <c r="AK260" s="373"/>
      <c r="AL260" s="373"/>
      <c r="AM260" s="373"/>
      <c r="AN260" s="373"/>
      <c r="AO260" s="373"/>
      <c r="AP260" s="373"/>
      <c r="AQ260" s="373"/>
      <c r="AR260" s="373"/>
      <c r="AS260" s="373"/>
      <c r="AT260" s="373"/>
      <c r="AU260" s="373"/>
      <c r="AV260" s="373"/>
      <c r="AW260" s="373"/>
      <c r="AX260" s="373"/>
      <c r="AY260" s="373"/>
      <c r="AZ260" s="373"/>
      <c r="BA260" s="373"/>
      <c r="BB260" s="373"/>
      <c r="BC260" s="373"/>
      <c r="BD260" s="373"/>
    </row>
    <row r="261" spans="1:56" s="377" customFormat="1" x14ac:dyDescent="0.15">
      <c r="A261" s="379"/>
      <c r="B261" s="379"/>
      <c r="C261" s="379"/>
      <c r="D261" s="379"/>
      <c r="E261" s="379"/>
      <c r="F261" s="378"/>
      <c r="H261" s="375"/>
      <c r="I261" s="375"/>
      <c r="J261" s="375"/>
      <c r="K261" s="375"/>
      <c r="L261" s="375"/>
      <c r="M261" s="375"/>
      <c r="N261" s="375"/>
      <c r="O261" s="375"/>
      <c r="P261" s="374"/>
      <c r="Q261" s="374"/>
      <c r="R261" s="374"/>
      <c r="S261" s="373"/>
      <c r="T261" s="373"/>
      <c r="U261" s="373"/>
      <c r="V261" s="373"/>
      <c r="W261" s="373"/>
      <c r="X261" s="373"/>
      <c r="Y261" s="373"/>
      <c r="Z261" s="373"/>
      <c r="AA261" s="373"/>
      <c r="AB261" s="373"/>
      <c r="AC261" s="373"/>
      <c r="AD261" s="373"/>
      <c r="AE261" s="373"/>
      <c r="AF261" s="373"/>
      <c r="AG261" s="373"/>
      <c r="AH261" s="373"/>
      <c r="AI261" s="373"/>
      <c r="AJ261" s="373"/>
      <c r="AK261" s="373"/>
      <c r="AL261" s="373"/>
      <c r="AM261" s="373"/>
      <c r="AN261" s="373"/>
      <c r="AO261" s="373"/>
      <c r="AP261" s="373"/>
      <c r="AQ261" s="373"/>
      <c r="AR261" s="373"/>
      <c r="AS261" s="373"/>
      <c r="AT261" s="373"/>
      <c r="AU261" s="373"/>
      <c r="AV261" s="373"/>
      <c r="AW261" s="373"/>
      <c r="AX261" s="373"/>
      <c r="AY261" s="373"/>
      <c r="AZ261" s="373"/>
      <c r="BA261" s="373"/>
      <c r="BB261" s="373"/>
      <c r="BC261" s="373"/>
      <c r="BD261" s="373"/>
    </row>
    <row r="262" spans="1:56" s="377" customFormat="1" x14ac:dyDescent="0.15">
      <c r="A262" s="379"/>
      <c r="B262" s="379"/>
      <c r="C262" s="379"/>
      <c r="D262" s="379"/>
      <c r="E262" s="379"/>
      <c r="F262" s="378"/>
      <c r="H262" s="375"/>
      <c r="I262" s="375"/>
      <c r="J262" s="375"/>
      <c r="K262" s="375"/>
      <c r="L262" s="375"/>
      <c r="M262" s="375"/>
      <c r="N262" s="375"/>
      <c r="O262" s="375"/>
      <c r="P262" s="374"/>
      <c r="Q262" s="374"/>
      <c r="R262" s="374"/>
      <c r="S262" s="373"/>
      <c r="T262" s="373"/>
      <c r="U262" s="373"/>
      <c r="V262" s="373"/>
      <c r="W262" s="373"/>
      <c r="X262" s="373"/>
      <c r="Y262" s="373"/>
      <c r="Z262" s="373"/>
      <c r="AA262" s="373"/>
      <c r="AB262" s="373"/>
      <c r="AC262" s="373"/>
      <c r="AD262" s="373"/>
      <c r="AE262" s="373"/>
      <c r="AF262" s="373"/>
      <c r="AG262" s="373"/>
      <c r="AH262" s="373"/>
      <c r="AI262" s="373"/>
      <c r="AJ262" s="373"/>
      <c r="AK262" s="373"/>
      <c r="AL262" s="373"/>
      <c r="AM262" s="373"/>
      <c r="AN262" s="373"/>
      <c r="AO262" s="373"/>
      <c r="AP262" s="373"/>
      <c r="AQ262" s="373"/>
      <c r="AR262" s="373"/>
      <c r="AS262" s="373"/>
      <c r="AT262" s="373"/>
      <c r="AU262" s="373"/>
      <c r="AV262" s="373"/>
      <c r="AW262" s="373"/>
      <c r="AX262" s="373"/>
      <c r="AY262" s="373"/>
      <c r="AZ262" s="373"/>
      <c r="BA262" s="373"/>
      <c r="BB262" s="373"/>
      <c r="BC262" s="373"/>
      <c r="BD262" s="373"/>
    </row>
    <row r="263" spans="1:56" s="377" customFormat="1" x14ac:dyDescent="0.15">
      <c r="A263" s="379"/>
      <c r="B263" s="379"/>
      <c r="C263" s="379"/>
      <c r="D263" s="379"/>
      <c r="E263" s="379"/>
      <c r="F263" s="378"/>
      <c r="H263" s="375"/>
      <c r="I263" s="375"/>
      <c r="J263" s="375"/>
      <c r="K263" s="375"/>
      <c r="L263" s="375"/>
      <c r="M263" s="375"/>
      <c r="N263" s="375"/>
      <c r="O263" s="375"/>
      <c r="P263" s="374"/>
      <c r="Q263" s="374"/>
      <c r="R263" s="374"/>
      <c r="S263" s="373"/>
      <c r="T263" s="373"/>
      <c r="U263" s="373"/>
      <c r="V263" s="373"/>
      <c r="W263" s="373"/>
      <c r="X263" s="373"/>
      <c r="Y263" s="373"/>
      <c r="Z263" s="373"/>
      <c r="AA263" s="373"/>
      <c r="AB263" s="373"/>
      <c r="AC263" s="373"/>
      <c r="AD263" s="373"/>
      <c r="AE263" s="373"/>
      <c r="AF263" s="373"/>
      <c r="AG263" s="373"/>
      <c r="AH263" s="373"/>
      <c r="AI263" s="373"/>
      <c r="AJ263" s="373"/>
      <c r="AK263" s="373"/>
      <c r="AL263" s="373"/>
      <c r="AM263" s="373"/>
      <c r="AN263" s="373"/>
      <c r="AO263" s="373"/>
      <c r="AP263" s="373"/>
      <c r="AQ263" s="373"/>
      <c r="AR263" s="373"/>
      <c r="AS263" s="373"/>
      <c r="AT263" s="373"/>
      <c r="AU263" s="373"/>
      <c r="AV263" s="373"/>
      <c r="AW263" s="373"/>
      <c r="AX263" s="373"/>
      <c r="AY263" s="373"/>
      <c r="AZ263" s="373"/>
      <c r="BA263" s="373"/>
      <c r="BB263" s="373"/>
      <c r="BC263" s="373"/>
      <c r="BD263" s="373"/>
    </row>
    <row r="264" spans="1:56" s="377" customFormat="1" x14ac:dyDescent="0.15">
      <c r="A264" s="379"/>
      <c r="B264" s="379"/>
      <c r="C264" s="379"/>
      <c r="D264" s="379"/>
      <c r="E264" s="379"/>
      <c r="F264" s="378"/>
      <c r="H264" s="375"/>
      <c r="I264" s="375"/>
      <c r="J264" s="375"/>
      <c r="K264" s="375"/>
      <c r="L264" s="375"/>
      <c r="M264" s="375"/>
      <c r="N264" s="375"/>
      <c r="O264" s="375"/>
      <c r="P264" s="374"/>
      <c r="Q264" s="374"/>
      <c r="R264" s="374"/>
      <c r="S264" s="373"/>
      <c r="T264" s="373"/>
      <c r="U264" s="373"/>
      <c r="V264" s="373"/>
      <c r="W264" s="373"/>
      <c r="X264" s="373"/>
      <c r="Y264" s="373"/>
      <c r="Z264" s="373"/>
      <c r="AA264" s="373"/>
      <c r="AB264" s="373"/>
      <c r="AC264" s="373"/>
      <c r="AD264" s="373"/>
      <c r="AE264" s="373"/>
      <c r="AF264" s="373"/>
      <c r="AG264" s="373"/>
      <c r="AH264" s="373"/>
      <c r="AI264" s="373"/>
      <c r="AJ264" s="373"/>
      <c r="AK264" s="373"/>
      <c r="AL264" s="373"/>
      <c r="AM264" s="373"/>
      <c r="AN264" s="373"/>
      <c r="AO264" s="373"/>
      <c r="AP264" s="373"/>
      <c r="AQ264" s="373"/>
      <c r="AR264" s="373"/>
      <c r="AS264" s="373"/>
      <c r="AT264" s="373"/>
      <c r="AU264" s="373"/>
      <c r="AV264" s="373"/>
      <c r="AW264" s="373"/>
      <c r="AX264" s="373"/>
      <c r="AY264" s="373"/>
      <c r="AZ264" s="373"/>
      <c r="BA264" s="373"/>
      <c r="BB264" s="373"/>
      <c r="BC264" s="373"/>
      <c r="BD264" s="373"/>
    </row>
    <row r="265" spans="1:56" s="377" customFormat="1" x14ac:dyDescent="0.15">
      <c r="A265" s="379"/>
      <c r="B265" s="379"/>
      <c r="C265" s="379"/>
      <c r="D265" s="379"/>
      <c r="E265" s="379"/>
      <c r="F265" s="378"/>
      <c r="H265" s="375"/>
      <c r="I265" s="375"/>
      <c r="J265" s="375"/>
      <c r="K265" s="375"/>
      <c r="L265" s="375"/>
      <c r="M265" s="375"/>
      <c r="N265" s="375"/>
      <c r="O265" s="375"/>
      <c r="P265" s="374"/>
      <c r="Q265" s="374"/>
      <c r="R265" s="374"/>
      <c r="S265" s="373"/>
      <c r="T265" s="373"/>
      <c r="U265" s="373"/>
      <c r="V265" s="373"/>
      <c r="W265" s="373"/>
      <c r="X265" s="373"/>
      <c r="Y265" s="373"/>
      <c r="Z265" s="373"/>
      <c r="AA265" s="373"/>
      <c r="AB265" s="373"/>
      <c r="AC265" s="373"/>
      <c r="AD265" s="373"/>
      <c r="AE265" s="373"/>
      <c r="AF265" s="373"/>
      <c r="AG265" s="373"/>
      <c r="AH265" s="373"/>
      <c r="AI265" s="373"/>
      <c r="AJ265" s="373"/>
      <c r="AK265" s="373"/>
      <c r="AL265" s="373"/>
      <c r="AM265" s="373"/>
      <c r="AN265" s="373"/>
      <c r="AO265" s="373"/>
      <c r="AP265" s="373"/>
      <c r="AQ265" s="373"/>
      <c r="AR265" s="373"/>
      <c r="AS265" s="373"/>
      <c r="AT265" s="373"/>
      <c r="AU265" s="373"/>
      <c r="AV265" s="373"/>
      <c r="AW265" s="373"/>
      <c r="AX265" s="373"/>
      <c r="AY265" s="373"/>
      <c r="AZ265" s="373"/>
      <c r="BA265" s="373"/>
      <c r="BB265" s="373"/>
      <c r="BC265" s="373"/>
      <c r="BD265" s="373"/>
    </row>
    <row r="266" spans="1:56" s="377" customFormat="1" x14ac:dyDescent="0.15">
      <c r="A266" s="379"/>
      <c r="B266" s="379"/>
      <c r="C266" s="379"/>
      <c r="D266" s="379"/>
      <c r="E266" s="379"/>
      <c r="F266" s="378"/>
      <c r="H266" s="375"/>
      <c r="I266" s="375"/>
      <c r="J266" s="375"/>
      <c r="K266" s="375"/>
      <c r="L266" s="375"/>
      <c r="M266" s="375"/>
      <c r="N266" s="375"/>
      <c r="O266" s="375"/>
      <c r="P266" s="374"/>
      <c r="Q266" s="374"/>
      <c r="R266" s="374"/>
      <c r="S266" s="373"/>
      <c r="T266" s="373"/>
      <c r="U266" s="373"/>
      <c r="V266" s="373"/>
      <c r="W266" s="373"/>
      <c r="X266" s="373"/>
      <c r="Y266" s="373"/>
      <c r="Z266" s="373"/>
      <c r="AA266" s="373"/>
      <c r="AB266" s="373"/>
      <c r="AC266" s="373"/>
      <c r="AD266" s="373"/>
      <c r="AE266" s="373"/>
      <c r="AF266" s="373"/>
      <c r="AG266" s="373"/>
      <c r="AH266" s="373"/>
      <c r="AI266" s="373"/>
      <c r="AJ266" s="373"/>
      <c r="AK266" s="373"/>
      <c r="AL266" s="373"/>
      <c r="AM266" s="373"/>
      <c r="AN266" s="373"/>
      <c r="AO266" s="373"/>
      <c r="AP266" s="373"/>
      <c r="AQ266" s="373"/>
      <c r="AR266" s="373"/>
      <c r="AS266" s="373"/>
      <c r="AT266" s="373"/>
      <c r="AU266" s="373"/>
      <c r="AV266" s="373"/>
      <c r="AW266" s="373"/>
      <c r="AX266" s="373"/>
      <c r="AY266" s="373"/>
      <c r="AZ266" s="373"/>
      <c r="BA266" s="373"/>
      <c r="BB266" s="373"/>
      <c r="BC266" s="373"/>
      <c r="BD266" s="373"/>
    </row>
    <row r="267" spans="1:56" s="377" customFormat="1" x14ac:dyDescent="0.15">
      <c r="A267" s="379"/>
      <c r="B267" s="379"/>
      <c r="C267" s="379"/>
      <c r="D267" s="379"/>
      <c r="E267" s="379"/>
      <c r="F267" s="378"/>
      <c r="H267" s="375"/>
      <c r="I267" s="375"/>
      <c r="J267" s="375"/>
      <c r="K267" s="375"/>
      <c r="L267" s="375"/>
      <c r="M267" s="375"/>
      <c r="N267" s="375"/>
      <c r="O267" s="375"/>
      <c r="P267" s="374"/>
      <c r="Q267" s="374"/>
      <c r="R267" s="374"/>
      <c r="S267" s="373"/>
      <c r="T267" s="373"/>
      <c r="U267" s="373"/>
      <c r="V267" s="373"/>
      <c r="W267" s="373"/>
      <c r="X267" s="373"/>
      <c r="Y267" s="373"/>
      <c r="Z267" s="373"/>
      <c r="AA267" s="373"/>
      <c r="AB267" s="373"/>
      <c r="AC267" s="373"/>
      <c r="AD267" s="373"/>
      <c r="AE267" s="373"/>
      <c r="AF267" s="373"/>
      <c r="AG267" s="373"/>
      <c r="AH267" s="373"/>
      <c r="AI267" s="373"/>
      <c r="AJ267" s="373"/>
      <c r="AK267" s="373"/>
      <c r="AL267" s="373"/>
      <c r="AM267" s="373"/>
      <c r="AN267" s="373"/>
      <c r="AO267" s="373"/>
      <c r="AP267" s="373"/>
      <c r="AQ267" s="373"/>
      <c r="AR267" s="373"/>
      <c r="AS267" s="373"/>
      <c r="AT267" s="373"/>
      <c r="AU267" s="373"/>
      <c r="AV267" s="373"/>
      <c r="AW267" s="373"/>
      <c r="AX267" s="373"/>
      <c r="AY267" s="373"/>
      <c r="AZ267" s="373"/>
      <c r="BA267" s="373"/>
      <c r="BB267" s="373"/>
      <c r="BC267" s="373"/>
      <c r="BD267" s="373"/>
    </row>
    <row r="268" spans="1:56" s="377" customFormat="1" x14ac:dyDescent="0.15">
      <c r="A268" s="379"/>
      <c r="B268" s="379"/>
      <c r="C268" s="379"/>
      <c r="D268" s="379"/>
      <c r="E268" s="379"/>
      <c r="F268" s="378"/>
      <c r="H268" s="375"/>
      <c r="I268" s="375"/>
      <c r="J268" s="375"/>
      <c r="K268" s="375"/>
      <c r="L268" s="375"/>
      <c r="M268" s="375"/>
      <c r="N268" s="375"/>
      <c r="O268" s="375"/>
      <c r="P268" s="374"/>
      <c r="Q268" s="374"/>
      <c r="R268" s="374"/>
      <c r="S268" s="373"/>
      <c r="T268" s="373"/>
      <c r="U268" s="373"/>
      <c r="V268" s="373"/>
      <c r="W268" s="373"/>
      <c r="X268" s="373"/>
      <c r="Y268" s="373"/>
      <c r="Z268" s="373"/>
      <c r="AA268" s="373"/>
      <c r="AB268" s="373"/>
      <c r="AC268" s="373"/>
      <c r="AD268" s="373"/>
      <c r="AE268" s="373"/>
      <c r="AF268" s="373"/>
      <c r="AG268" s="373"/>
      <c r="AH268" s="373"/>
      <c r="AI268" s="373"/>
      <c r="AJ268" s="373"/>
      <c r="AK268" s="373"/>
      <c r="AL268" s="373"/>
      <c r="AM268" s="373"/>
      <c r="AN268" s="373"/>
      <c r="AO268" s="373"/>
      <c r="AP268" s="373"/>
      <c r="AQ268" s="373"/>
      <c r="AR268" s="373"/>
      <c r="AS268" s="373"/>
      <c r="AT268" s="373"/>
      <c r="AU268" s="373"/>
      <c r="AV268" s="373"/>
      <c r="AW268" s="373"/>
      <c r="AX268" s="373"/>
      <c r="AY268" s="373"/>
      <c r="AZ268" s="373"/>
      <c r="BA268" s="373"/>
      <c r="BB268" s="373"/>
      <c r="BC268" s="373"/>
      <c r="BD268" s="373"/>
    </row>
    <row r="269" spans="1:56" s="377" customFormat="1" x14ac:dyDescent="0.15">
      <c r="A269" s="379"/>
      <c r="B269" s="379"/>
      <c r="C269" s="379"/>
      <c r="D269" s="379"/>
      <c r="E269" s="379"/>
      <c r="F269" s="378"/>
      <c r="H269" s="375"/>
      <c r="I269" s="375"/>
      <c r="J269" s="375"/>
      <c r="K269" s="375"/>
      <c r="L269" s="375"/>
      <c r="M269" s="375"/>
      <c r="N269" s="375"/>
      <c r="O269" s="375"/>
      <c r="P269" s="374"/>
      <c r="Q269" s="374"/>
      <c r="R269" s="374"/>
      <c r="S269" s="373"/>
      <c r="T269" s="373"/>
      <c r="U269" s="373"/>
      <c r="V269" s="373"/>
      <c r="W269" s="373"/>
      <c r="X269" s="373"/>
      <c r="Y269" s="373"/>
      <c r="Z269" s="373"/>
      <c r="AA269" s="373"/>
      <c r="AB269" s="373"/>
      <c r="AC269" s="373"/>
      <c r="AD269" s="373"/>
      <c r="AE269" s="373"/>
      <c r="AF269" s="373"/>
      <c r="AG269" s="373"/>
      <c r="AH269" s="373"/>
      <c r="AI269" s="373"/>
      <c r="AJ269" s="373"/>
      <c r="AK269" s="373"/>
      <c r="AL269" s="373"/>
      <c r="AM269" s="373"/>
      <c r="AN269" s="373"/>
      <c r="AO269" s="373"/>
      <c r="AP269" s="373"/>
      <c r="AQ269" s="373"/>
      <c r="AR269" s="373"/>
      <c r="AS269" s="373"/>
      <c r="AT269" s="373"/>
      <c r="AU269" s="373"/>
      <c r="AV269" s="373"/>
      <c r="AW269" s="373"/>
      <c r="AX269" s="373"/>
      <c r="AY269" s="373"/>
      <c r="AZ269" s="373"/>
      <c r="BA269" s="373"/>
      <c r="BB269" s="373"/>
      <c r="BC269" s="373"/>
      <c r="BD269" s="373"/>
    </row>
    <row r="270" spans="1:56" s="377" customFormat="1" x14ac:dyDescent="0.15">
      <c r="A270" s="379"/>
      <c r="B270" s="379"/>
      <c r="C270" s="379"/>
      <c r="D270" s="379"/>
      <c r="E270" s="379"/>
      <c r="F270" s="378"/>
      <c r="H270" s="375"/>
      <c r="I270" s="375"/>
      <c r="J270" s="375"/>
      <c r="K270" s="375"/>
      <c r="L270" s="375"/>
      <c r="M270" s="375"/>
      <c r="N270" s="375"/>
      <c r="O270" s="375"/>
      <c r="P270" s="374"/>
      <c r="Q270" s="374"/>
      <c r="R270" s="374"/>
      <c r="S270" s="373"/>
      <c r="T270" s="373"/>
      <c r="U270" s="373"/>
      <c r="V270" s="373"/>
      <c r="W270" s="373"/>
      <c r="X270" s="373"/>
      <c r="Y270" s="373"/>
      <c r="Z270" s="373"/>
      <c r="AA270" s="373"/>
      <c r="AB270" s="373"/>
      <c r="AC270" s="373"/>
      <c r="AD270" s="373"/>
      <c r="AE270" s="373"/>
      <c r="AF270" s="373"/>
      <c r="AG270" s="373"/>
      <c r="AH270" s="373"/>
      <c r="AI270" s="373"/>
      <c r="AJ270" s="373"/>
      <c r="AK270" s="373"/>
      <c r="AL270" s="373"/>
      <c r="AM270" s="373"/>
      <c r="AN270" s="373"/>
      <c r="AO270" s="373"/>
      <c r="AP270" s="373"/>
      <c r="AQ270" s="373"/>
      <c r="AR270" s="373"/>
      <c r="AS270" s="373"/>
      <c r="AT270" s="373"/>
      <c r="AU270" s="373"/>
      <c r="AV270" s="373"/>
      <c r="AW270" s="373"/>
      <c r="AX270" s="373"/>
      <c r="AY270" s="373"/>
      <c r="AZ270" s="373"/>
      <c r="BA270" s="373"/>
      <c r="BB270" s="373"/>
      <c r="BC270" s="373"/>
      <c r="BD270" s="373"/>
    </row>
    <row r="271" spans="1:56" s="377" customFormat="1" x14ac:dyDescent="0.15">
      <c r="A271" s="379"/>
      <c r="B271" s="379"/>
      <c r="C271" s="379"/>
      <c r="D271" s="379"/>
      <c r="E271" s="379"/>
      <c r="F271" s="378"/>
      <c r="H271" s="375"/>
      <c r="I271" s="375"/>
      <c r="J271" s="375"/>
      <c r="K271" s="375"/>
      <c r="L271" s="375"/>
      <c r="M271" s="375"/>
      <c r="N271" s="375"/>
      <c r="O271" s="375"/>
      <c r="P271" s="374"/>
      <c r="Q271" s="374"/>
      <c r="R271" s="374"/>
      <c r="S271" s="373"/>
      <c r="T271" s="373"/>
      <c r="U271" s="373"/>
      <c r="V271" s="373"/>
      <c r="W271" s="373"/>
      <c r="X271" s="373"/>
      <c r="Y271" s="373"/>
      <c r="Z271" s="373"/>
      <c r="AA271" s="373"/>
      <c r="AB271" s="373"/>
      <c r="AC271" s="373"/>
      <c r="AD271" s="373"/>
      <c r="AE271" s="373"/>
      <c r="AF271" s="373"/>
      <c r="AG271" s="373"/>
      <c r="AH271" s="373"/>
      <c r="AI271" s="373"/>
      <c r="AJ271" s="373"/>
      <c r="AK271" s="373"/>
      <c r="AL271" s="373"/>
      <c r="AM271" s="373"/>
      <c r="AN271" s="373"/>
      <c r="AO271" s="373"/>
      <c r="AP271" s="373"/>
      <c r="AQ271" s="373"/>
      <c r="AR271" s="373"/>
      <c r="AS271" s="373"/>
      <c r="AT271" s="373"/>
      <c r="AU271" s="373"/>
      <c r="AV271" s="373"/>
      <c r="AW271" s="373"/>
      <c r="AX271" s="373"/>
      <c r="AY271" s="373"/>
      <c r="AZ271" s="373"/>
      <c r="BA271" s="373"/>
      <c r="BB271" s="373"/>
      <c r="BC271" s="373"/>
      <c r="BD271" s="373"/>
    </row>
    <row r="272" spans="1:56" s="377" customFormat="1" x14ac:dyDescent="0.15">
      <c r="A272" s="379"/>
      <c r="B272" s="379"/>
      <c r="C272" s="379"/>
      <c r="D272" s="379"/>
      <c r="E272" s="379"/>
      <c r="F272" s="378"/>
      <c r="H272" s="375"/>
      <c r="I272" s="375"/>
      <c r="J272" s="375"/>
      <c r="K272" s="375"/>
      <c r="L272" s="375"/>
      <c r="M272" s="375"/>
      <c r="N272" s="375"/>
      <c r="O272" s="375"/>
      <c r="P272" s="374"/>
      <c r="Q272" s="374"/>
      <c r="R272" s="374"/>
      <c r="S272" s="373"/>
      <c r="T272" s="373"/>
      <c r="U272" s="373"/>
      <c r="V272" s="373"/>
      <c r="W272" s="373"/>
      <c r="X272" s="373"/>
      <c r="Y272" s="373"/>
      <c r="Z272" s="373"/>
      <c r="AA272" s="373"/>
      <c r="AB272" s="373"/>
      <c r="AC272" s="373"/>
      <c r="AD272" s="373"/>
      <c r="AE272" s="373"/>
      <c r="AF272" s="373"/>
      <c r="AG272" s="373"/>
      <c r="AH272" s="373"/>
      <c r="AI272" s="373"/>
      <c r="AJ272" s="373"/>
      <c r="AK272" s="373"/>
      <c r="AL272" s="373"/>
      <c r="AM272" s="373"/>
      <c r="AN272" s="373"/>
      <c r="AO272" s="373"/>
      <c r="AP272" s="373"/>
      <c r="AQ272" s="373"/>
      <c r="AR272" s="373"/>
      <c r="AS272" s="373"/>
      <c r="AT272" s="373"/>
      <c r="AU272" s="373"/>
      <c r="AV272" s="373"/>
      <c r="AW272" s="373"/>
      <c r="AX272" s="373"/>
      <c r="AY272" s="373"/>
      <c r="AZ272" s="373"/>
      <c r="BA272" s="373"/>
      <c r="BB272" s="373"/>
      <c r="BC272" s="373"/>
      <c r="BD272" s="373"/>
    </row>
    <row r="273" spans="1:56" s="377" customFormat="1" x14ac:dyDescent="0.15">
      <c r="A273" s="379"/>
      <c r="B273" s="379"/>
      <c r="C273" s="379"/>
      <c r="D273" s="379"/>
      <c r="E273" s="379"/>
      <c r="F273" s="378"/>
      <c r="H273" s="375"/>
      <c r="I273" s="375"/>
      <c r="J273" s="375"/>
      <c r="K273" s="375"/>
      <c r="L273" s="375"/>
      <c r="M273" s="375"/>
      <c r="N273" s="375"/>
      <c r="O273" s="375"/>
      <c r="P273" s="374"/>
      <c r="Q273" s="374"/>
      <c r="R273" s="374"/>
      <c r="S273" s="373"/>
      <c r="T273" s="373"/>
      <c r="U273" s="373"/>
      <c r="V273" s="373"/>
      <c r="W273" s="373"/>
      <c r="X273" s="373"/>
      <c r="Y273" s="373"/>
      <c r="Z273" s="373"/>
      <c r="AA273" s="373"/>
      <c r="AB273" s="373"/>
      <c r="AC273" s="373"/>
      <c r="AD273" s="373"/>
      <c r="AE273" s="373"/>
      <c r="AF273" s="373"/>
      <c r="AG273" s="373"/>
      <c r="AH273" s="373"/>
      <c r="AI273" s="373"/>
      <c r="AJ273" s="373"/>
      <c r="AK273" s="373"/>
      <c r="AL273" s="373"/>
      <c r="AM273" s="373"/>
      <c r="AN273" s="373"/>
      <c r="AO273" s="373"/>
      <c r="AP273" s="373"/>
      <c r="AQ273" s="373"/>
      <c r="AR273" s="373"/>
      <c r="AS273" s="373"/>
      <c r="AT273" s="373"/>
      <c r="AU273" s="373"/>
      <c r="AV273" s="373"/>
      <c r="AW273" s="373"/>
      <c r="AX273" s="373"/>
      <c r="AY273" s="373"/>
      <c r="AZ273" s="373"/>
      <c r="BA273" s="373"/>
      <c r="BB273" s="373"/>
      <c r="BC273" s="373"/>
      <c r="BD273" s="373"/>
    </row>
    <row r="274" spans="1:56" s="377" customFormat="1" x14ac:dyDescent="0.15">
      <c r="A274" s="379"/>
      <c r="B274" s="379"/>
      <c r="C274" s="379"/>
      <c r="D274" s="379"/>
      <c r="E274" s="379"/>
      <c r="F274" s="378"/>
      <c r="H274" s="375"/>
      <c r="I274" s="375"/>
      <c r="J274" s="375"/>
      <c r="K274" s="375"/>
      <c r="L274" s="375"/>
      <c r="M274" s="375"/>
      <c r="N274" s="375"/>
      <c r="O274" s="375"/>
      <c r="P274" s="374"/>
      <c r="Q274" s="374"/>
      <c r="R274" s="374"/>
      <c r="S274" s="373"/>
      <c r="T274" s="373"/>
      <c r="U274" s="373"/>
      <c r="V274" s="373"/>
      <c r="W274" s="373"/>
      <c r="X274" s="373"/>
      <c r="Y274" s="373"/>
      <c r="Z274" s="373"/>
      <c r="AA274" s="373"/>
      <c r="AB274" s="373"/>
      <c r="AC274" s="373"/>
      <c r="AD274" s="373"/>
      <c r="AE274" s="373"/>
      <c r="AF274" s="373"/>
      <c r="AG274" s="373"/>
      <c r="AH274" s="373"/>
      <c r="AI274" s="373"/>
      <c r="AJ274" s="373"/>
      <c r="AK274" s="373"/>
      <c r="AL274" s="373"/>
      <c r="AM274" s="373"/>
      <c r="AN274" s="373"/>
      <c r="AO274" s="373"/>
      <c r="AP274" s="373"/>
      <c r="AQ274" s="373"/>
      <c r="AR274" s="373"/>
      <c r="AS274" s="373"/>
      <c r="AT274" s="373"/>
      <c r="AU274" s="373"/>
      <c r="AV274" s="373"/>
      <c r="AW274" s="373"/>
      <c r="AX274" s="373"/>
      <c r="AY274" s="373"/>
      <c r="AZ274" s="373"/>
      <c r="BA274" s="373"/>
      <c r="BB274" s="373"/>
      <c r="BC274" s="373"/>
      <c r="BD274" s="373"/>
    </row>
    <row r="275" spans="1:56" s="377" customFormat="1" x14ac:dyDescent="0.15">
      <c r="A275" s="379"/>
      <c r="B275" s="379"/>
      <c r="C275" s="379"/>
      <c r="D275" s="379"/>
      <c r="E275" s="379"/>
      <c r="F275" s="378"/>
      <c r="H275" s="375"/>
      <c r="I275" s="375"/>
      <c r="J275" s="375"/>
      <c r="K275" s="375"/>
      <c r="L275" s="375"/>
      <c r="M275" s="375"/>
      <c r="N275" s="375"/>
      <c r="O275" s="375"/>
      <c r="P275" s="374"/>
      <c r="Q275" s="374"/>
      <c r="R275" s="374"/>
      <c r="S275" s="373"/>
      <c r="T275" s="373"/>
      <c r="U275" s="373"/>
      <c r="V275" s="373"/>
      <c r="W275" s="373"/>
      <c r="X275" s="373"/>
      <c r="Y275" s="373"/>
      <c r="Z275" s="373"/>
      <c r="AA275" s="373"/>
      <c r="AB275" s="373"/>
      <c r="AC275" s="373"/>
      <c r="AD275" s="373"/>
      <c r="AE275" s="373"/>
      <c r="AF275" s="373"/>
      <c r="AG275" s="373"/>
      <c r="AH275" s="373"/>
      <c r="AI275" s="373"/>
      <c r="AJ275" s="373"/>
      <c r="AK275" s="373"/>
      <c r="AL275" s="373"/>
      <c r="AM275" s="373"/>
      <c r="AN275" s="373"/>
      <c r="AO275" s="373"/>
      <c r="AP275" s="373"/>
      <c r="AQ275" s="373"/>
      <c r="AR275" s="373"/>
      <c r="AS275" s="373"/>
      <c r="AT275" s="373"/>
      <c r="AU275" s="373"/>
      <c r="AV275" s="373"/>
      <c r="AW275" s="373"/>
      <c r="AX275" s="373"/>
      <c r="AY275" s="373"/>
      <c r="AZ275" s="373"/>
      <c r="BA275" s="373"/>
      <c r="BB275" s="373"/>
      <c r="BC275" s="373"/>
      <c r="BD275" s="373"/>
    </row>
    <row r="276" spans="1:56" s="377" customFormat="1" x14ac:dyDescent="0.15">
      <c r="A276" s="379"/>
      <c r="B276" s="379"/>
      <c r="C276" s="379"/>
      <c r="D276" s="379"/>
      <c r="E276" s="379"/>
      <c r="F276" s="378"/>
      <c r="H276" s="375"/>
      <c r="I276" s="375"/>
      <c r="J276" s="375"/>
      <c r="K276" s="375"/>
      <c r="L276" s="375"/>
      <c r="M276" s="375"/>
      <c r="N276" s="375"/>
      <c r="O276" s="375"/>
      <c r="P276" s="374"/>
      <c r="Q276" s="374"/>
      <c r="R276" s="374"/>
      <c r="S276" s="373"/>
      <c r="T276" s="373"/>
      <c r="U276" s="373"/>
      <c r="V276" s="373"/>
      <c r="W276" s="373"/>
      <c r="X276" s="373"/>
      <c r="Y276" s="373"/>
      <c r="Z276" s="373"/>
      <c r="AA276" s="373"/>
      <c r="AB276" s="373"/>
      <c r="AC276" s="373"/>
      <c r="AD276" s="373"/>
      <c r="AE276" s="373"/>
      <c r="AF276" s="373"/>
      <c r="AG276" s="373"/>
      <c r="AH276" s="373"/>
      <c r="AI276" s="373"/>
      <c r="AJ276" s="373"/>
      <c r="AK276" s="373"/>
      <c r="AL276" s="373"/>
      <c r="AM276" s="373"/>
      <c r="AN276" s="373"/>
      <c r="AO276" s="373"/>
      <c r="AP276" s="373"/>
      <c r="AQ276" s="373"/>
      <c r="AR276" s="373"/>
      <c r="AS276" s="373"/>
      <c r="AT276" s="373"/>
      <c r="AU276" s="373"/>
      <c r="AV276" s="373"/>
      <c r="AW276" s="373"/>
      <c r="AX276" s="373"/>
      <c r="AY276" s="373"/>
      <c r="AZ276" s="373"/>
      <c r="BA276" s="373"/>
      <c r="BB276" s="373"/>
      <c r="BC276" s="373"/>
      <c r="BD276" s="373"/>
    </row>
    <row r="277" spans="1:56" s="377" customFormat="1" x14ac:dyDescent="0.15">
      <c r="A277" s="379"/>
      <c r="B277" s="379"/>
      <c r="C277" s="379"/>
      <c r="D277" s="379"/>
      <c r="E277" s="379"/>
      <c r="F277" s="378"/>
      <c r="H277" s="375"/>
      <c r="I277" s="375"/>
      <c r="J277" s="375"/>
      <c r="K277" s="375"/>
      <c r="L277" s="375"/>
      <c r="M277" s="375"/>
      <c r="N277" s="375"/>
      <c r="O277" s="375"/>
      <c r="P277" s="374"/>
      <c r="Q277" s="374"/>
      <c r="R277" s="374"/>
      <c r="S277" s="373"/>
      <c r="T277" s="373"/>
      <c r="U277" s="373"/>
      <c r="V277" s="373"/>
      <c r="W277" s="373"/>
      <c r="X277" s="373"/>
      <c r="Y277" s="373"/>
      <c r="Z277" s="373"/>
      <c r="AA277" s="373"/>
      <c r="AB277" s="373"/>
      <c r="AC277" s="373"/>
      <c r="AD277" s="373"/>
      <c r="AE277" s="373"/>
      <c r="AF277" s="373"/>
      <c r="AG277" s="373"/>
      <c r="AH277" s="373"/>
      <c r="AI277" s="373"/>
      <c r="AJ277" s="373"/>
      <c r="AK277" s="373"/>
      <c r="AL277" s="373"/>
      <c r="AM277" s="373"/>
      <c r="AN277" s="373"/>
      <c r="AO277" s="373"/>
      <c r="AP277" s="373"/>
      <c r="AQ277" s="373"/>
      <c r="AR277" s="373"/>
      <c r="AS277" s="373"/>
      <c r="AT277" s="373"/>
      <c r="AU277" s="373"/>
      <c r="AV277" s="373"/>
      <c r="AW277" s="373"/>
      <c r="AX277" s="373"/>
      <c r="AY277" s="373"/>
      <c r="AZ277" s="373"/>
      <c r="BA277" s="373"/>
      <c r="BB277" s="373"/>
      <c r="BC277" s="373"/>
      <c r="BD277" s="373"/>
    </row>
    <row r="278" spans="1:56" s="377" customFormat="1" x14ac:dyDescent="0.15">
      <c r="A278" s="379"/>
      <c r="B278" s="379"/>
      <c r="C278" s="379"/>
      <c r="D278" s="379"/>
      <c r="E278" s="379"/>
      <c r="F278" s="378"/>
      <c r="H278" s="375"/>
      <c r="I278" s="375"/>
      <c r="J278" s="375"/>
      <c r="K278" s="375"/>
      <c r="L278" s="375"/>
      <c r="M278" s="375"/>
      <c r="N278" s="375"/>
      <c r="O278" s="375"/>
      <c r="P278" s="374"/>
      <c r="Q278" s="374"/>
      <c r="R278" s="374"/>
      <c r="S278" s="373"/>
      <c r="T278" s="373"/>
      <c r="U278" s="373"/>
      <c r="V278" s="373"/>
      <c r="W278" s="373"/>
      <c r="X278" s="373"/>
      <c r="Y278" s="373"/>
      <c r="Z278" s="373"/>
      <c r="AA278" s="373"/>
      <c r="AB278" s="373"/>
      <c r="AC278" s="373"/>
      <c r="AD278" s="373"/>
      <c r="AE278" s="373"/>
      <c r="AF278" s="373"/>
      <c r="AG278" s="373"/>
      <c r="AH278" s="373"/>
      <c r="AI278" s="373"/>
      <c r="AJ278" s="373"/>
      <c r="AK278" s="373"/>
      <c r="AL278" s="373"/>
      <c r="AM278" s="373"/>
      <c r="AN278" s="373"/>
      <c r="AO278" s="373"/>
      <c r="AP278" s="373"/>
      <c r="AQ278" s="373"/>
      <c r="AR278" s="373"/>
      <c r="AS278" s="373"/>
      <c r="AT278" s="373"/>
      <c r="AU278" s="373"/>
      <c r="AV278" s="373"/>
      <c r="AW278" s="373"/>
      <c r="AX278" s="373"/>
      <c r="AY278" s="373"/>
      <c r="AZ278" s="373"/>
      <c r="BA278" s="373"/>
      <c r="BB278" s="373"/>
      <c r="BC278" s="373"/>
      <c r="BD278" s="373"/>
    </row>
    <row r="279" spans="1:56" s="377" customFormat="1" x14ac:dyDescent="0.15">
      <c r="A279" s="379"/>
      <c r="B279" s="379"/>
      <c r="C279" s="379"/>
      <c r="D279" s="379"/>
      <c r="E279" s="379"/>
      <c r="F279" s="378"/>
      <c r="H279" s="375"/>
      <c r="I279" s="375"/>
      <c r="J279" s="375"/>
      <c r="K279" s="375"/>
      <c r="L279" s="375"/>
      <c r="M279" s="375"/>
      <c r="N279" s="375"/>
      <c r="O279" s="375"/>
      <c r="P279" s="374"/>
      <c r="Q279" s="374"/>
      <c r="R279" s="374"/>
      <c r="S279" s="373"/>
      <c r="T279" s="373"/>
      <c r="U279" s="373"/>
      <c r="V279" s="373"/>
      <c r="W279" s="373"/>
      <c r="X279" s="373"/>
      <c r="Y279" s="373"/>
      <c r="Z279" s="373"/>
      <c r="AA279" s="373"/>
      <c r="AB279" s="373"/>
      <c r="AC279" s="373"/>
      <c r="AD279" s="373"/>
      <c r="AE279" s="373"/>
      <c r="AF279" s="373"/>
      <c r="AG279" s="373"/>
      <c r="AH279" s="373"/>
      <c r="AI279" s="373"/>
      <c r="AJ279" s="373"/>
      <c r="AK279" s="373"/>
      <c r="AL279" s="373"/>
      <c r="AM279" s="373"/>
      <c r="AN279" s="373"/>
      <c r="AO279" s="373"/>
      <c r="AP279" s="373"/>
      <c r="AQ279" s="373"/>
      <c r="AR279" s="373"/>
      <c r="AS279" s="373"/>
      <c r="AT279" s="373"/>
      <c r="AU279" s="373"/>
      <c r="AV279" s="373"/>
      <c r="AW279" s="373"/>
      <c r="AX279" s="373"/>
      <c r="AY279" s="373"/>
      <c r="AZ279" s="373"/>
      <c r="BA279" s="373"/>
      <c r="BB279" s="373"/>
      <c r="BC279" s="373"/>
      <c r="BD279" s="373"/>
    </row>
    <row r="280" spans="1:56" s="377" customFormat="1" x14ac:dyDescent="0.15">
      <c r="A280" s="379"/>
      <c r="B280" s="379"/>
      <c r="C280" s="379"/>
      <c r="D280" s="379"/>
      <c r="E280" s="379"/>
      <c r="F280" s="378"/>
      <c r="H280" s="375"/>
      <c r="I280" s="375"/>
      <c r="J280" s="375"/>
      <c r="K280" s="375"/>
      <c r="L280" s="375"/>
      <c r="M280" s="375"/>
      <c r="N280" s="375"/>
      <c r="O280" s="375"/>
      <c r="P280" s="374"/>
      <c r="Q280" s="374"/>
      <c r="R280" s="374"/>
      <c r="S280" s="373"/>
      <c r="T280" s="373"/>
      <c r="U280" s="373"/>
      <c r="V280" s="373"/>
      <c r="W280" s="373"/>
      <c r="X280" s="373"/>
      <c r="Y280" s="373"/>
      <c r="Z280" s="373"/>
      <c r="AA280" s="373"/>
      <c r="AB280" s="373"/>
      <c r="AC280" s="373"/>
      <c r="AD280" s="373"/>
      <c r="AE280" s="373"/>
      <c r="AF280" s="373"/>
      <c r="AG280" s="373"/>
      <c r="AH280" s="373"/>
      <c r="AI280" s="373"/>
      <c r="AJ280" s="373"/>
      <c r="AK280" s="373"/>
      <c r="AL280" s="373"/>
      <c r="AM280" s="373"/>
      <c r="AN280" s="373"/>
      <c r="AO280" s="373"/>
      <c r="AP280" s="373"/>
      <c r="AQ280" s="373"/>
      <c r="AR280" s="373"/>
      <c r="AS280" s="373"/>
      <c r="AT280" s="373"/>
      <c r="AU280" s="373"/>
      <c r="AV280" s="373"/>
      <c r="AW280" s="373"/>
      <c r="AX280" s="373"/>
      <c r="AY280" s="373"/>
      <c r="AZ280" s="373"/>
      <c r="BA280" s="373"/>
      <c r="BB280" s="373"/>
      <c r="BC280" s="373"/>
      <c r="BD280" s="373"/>
    </row>
    <row r="281" spans="1:56" s="377" customFormat="1" x14ac:dyDescent="0.15">
      <c r="A281" s="379"/>
      <c r="B281" s="379"/>
      <c r="C281" s="379"/>
      <c r="D281" s="379"/>
      <c r="E281" s="379"/>
      <c r="F281" s="378"/>
      <c r="H281" s="375"/>
      <c r="I281" s="375"/>
      <c r="J281" s="375"/>
      <c r="K281" s="375"/>
      <c r="L281" s="375"/>
      <c r="M281" s="375"/>
      <c r="N281" s="375"/>
      <c r="O281" s="375"/>
      <c r="P281" s="374"/>
      <c r="Q281" s="374"/>
      <c r="R281" s="374"/>
      <c r="S281" s="373"/>
      <c r="T281" s="373"/>
      <c r="U281" s="373"/>
      <c r="V281" s="373"/>
      <c r="W281" s="373"/>
      <c r="X281" s="373"/>
      <c r="Y281" s="373"/>
      <c r="Z281" s="373"/>
      <c r="AA281" s="373"/>
      <c r="AB281" s="373"/>
      <c r="AC281" s="373"/>
      <c r="AD281" s="373"/>
      <c r="AE281" s="373"/>
      <c r="AF281" s="373"/>
      <c r="AG281" s="373"/>
      <c r="AH281" s="373"/>
      <c r="AI281" s="373"/>
      <c r="AJ281" s="373"/>
      <c r="AK281" s="373"/>
      <c r="AL281" s="373"/>
      <c r="AM281" s="373"/>
      <c r="AN281" s="373"/>
      <c r="AO281" s="373"/>
      <c r="AP281" s="373"/>
      <c r="AQ281" s="373"/>
      <c r="AR281" s="373"/>
      <c r="AS281" s="373"/>
      <c r="AT281" s="373"/>
      <c r="AU281" s="373"/>
      <c r="AV281" s="373"/>
      <c r="AW281" s="373"/>
      <c r="AX281" s="373"/>
      <c r="AY281" s="373"/>
      <c r="AZ281" s="373"/>
      <c r="BA281" s="373"/>
      <c r="BB281" s="373"/>
      <c r="BC281" s="373"/>
      <c r="BD281" s="373"/>
    </row>
    <row r="282" spans="1:56" s="377" customFormat="1" x14ac:dyDescent="0.15">
      <c r="A282" s="379"/>
      <c r="B282" s="379"/>
      <c r="C282" s="379"/>
      <c r="D282" s="379"/>
      <c r="E282" s="379"/>
      <c r="F282" s="378"/>
      <c r="H282" s="375"/>
      <c r="I282" s="375"/>
      <c r="J282" s="375"/>
      <c r="K282" s="375"/>
      <c r="L282" s="375"/>
      <c r="M282" s="375"/>
      <c r="N282" s="375"/>
      <c r="O282" s="375"/>
      <c r="P282" s="374"/>
      <c r="Q282" s="374"/>
      <c r="R282" s="374"/>
      <c r="S282" s="373"/>
      <c r="T282" s="373"/>
      <c r="U282" s="373"/>
      <c r="V282" s="373"/>
      <c r="W282" s="373"/>
      <c r="X282" s="373"/>
      <c r="Y282" s="373"/>
      <c r="Z282" s="373"/>
      <c r="AA282" s="373"/>
      <c r="AB282" s="373"/>
      <c r="AC282" s="373"/>
      <c r="AD282" s="373"/>
      <c r="AE282" s="373"/>
      <c r="AF282" s="373"/>
      <c r="AG282" s="373"/>
      <c r="AH282" s="373"/>
      <c r="AI282" s="373"/>
      <c r="AJ282" s="373"/>
      <c r="AK282" s="373"/>
      <c r="AL282" s="373"/>
      <c r="AM282" s="373"/>
      <c r="AN282" s="373"/>
      <c r="AO282" s="373"/>
      <c r="AP282" s="373"/>
      <c r="AQ282" s="373"/>
      <c r="AR282" s="373"/>
      <c r="AS282" s="373"/>
      <c r="AT282" s="373"/>
      <c r="AU282" s="373"/>
      <c r="AV282" s="373"/>
      <c r="AW282" s="373"/>
      <c r="AX282" s="373"/>
      <c r="AY282" s="373"/>
      <c r="AZ282" s="373"/>
      <c r="BA282" s="373"/>
      <c r="BB282" s="373"/>
      <c r="BC282" s="373"/>
      <c r="BD282" s="373"/>
    </row>
    <row r="283" spans="1:56" s="377" customFormat="1" x14ac:dyDescent="0.15">
      <c r="A283" s="379"/>
      <c r="B283" s="379"/>
      <c r="C283" s="379"/>
      <c r="D283" s="379"/>
      <c r="E283" s="379"/>
      <c r="F283" s="378"/>
      <c r="H283" s="375"/>
      <c r="I283" s="375"/>
      <c r="J283" s="375"/>
      <c r="K283" s="375"/>
      <c r="L283" s="375"/>
      <c r="M283" s="375"/>
      <c r="N283" s="375"/>
      <c r="O283" s="375"/>
      <c r="P283" s="374"/>
      <c r="Q283" s="374"/>
      <c r="R283" s="374"/>
      <c r="S283" s="373"/>
      <c r="T283" s="373"/>
      <c r="U283" s="373"/>
      <c r="V283" s="373"/>
      <c r="W283" s="373"/>
      <c r="X283" s="373"/>
      <c r="Y283" s="373"/>
      <c r="Z283" s="373"/>
      <c r="AA283" s="373"/>
      <c r="AB283" s="373"/>
      <c r="AC283" s="373"/>
      <c r="AD283" s="373"/>
      <c r="AE283" s="373"/>
      <c r="AF283" s="373"/>
      <c r="AG283" s="373"/>
      <c r="AH283" s="373"/>
      <c r="AI283" s="373"/>
      <c r="AJ283" s="373"/>
      <c r="AK283" s="373"/>
      <c r="AL283" s="373"/>
      <c r="AM283" s="373"/>
      <c r="AN283" s="373"/>
      <c r="AO283" s="373"/>
      <c r="AP283" s="373"/>
      <c r="AQ283" s="373"/>
      <c r="AR283" s="373"/>
      <c r="AS283" s="373"/>
      <c r="AT283" s="373"/>
      <c r="AU283" s="373"/>
      <c r="AV283" s="373"/>
      <c r="AW283" s="373"/>
      <c r="AX283" s="373"/>
      <c r="AY283" s="373"/>
      <c r="AZ283" s="373"/>
      <c r="BA283" s="373"/>
      <c r="BB283" s="373"/>
      <c r="BC283" s="373"/>
      <c r="BD283" s="373"/>
    </row>
    <row r="284" spans="1:56" s="377" customFormat="1" x14ac:dyDescent="0.15">
      <c r="A284" s="379"/>
      <c r="B284" s="379"/>
      <c r="C284" s="379"/>
      <c r="D284" s="379"/>
      <c r="E284" s="379"/>
      <c r="F284" s="378"/>
      <c r="H284" s="375"/>
      <c r="I284" s="375"/>
      <c r="J284" s="375"/>
      <c r="K284" s="375"/>
      <c r="L284" s="375"/>
      <c r="M284" s="375"/>
      <c r="N284" s="375"/>
      <c r="O284" s="375"/>
      <c r="P284" s="374"/>
      <c r="Q284" s="374"/>
      <c r="R284" s="374"/>
      <c r="S284" s="373"/>
      <c r="T284" s="373"/>
      <c r="U284" s="373"/>
      <c r="V284" s="373"/>
      <c r="W284" s="373"/>
      <c r="X284" s="373"/>
      <c r="Y284" s="373"/>
      <c r="Z284" s="373"/>
      <c r="AA284" s="373"/>
      <c r="AB284" s="373"/>
      <c r="AC284" s="373"/>
      <c r="AD284" s="373"/>
      <c r="AE284" s="373"/>
      <c r="AF284" s="373"/>
      <c r="AG284" s="373"/>
      <c r="AH284" s="373"/>
      <c r="AI284" s="373"/>
      <c r="AJ284" s="373"/>
      <c r="AK284" s="373"/>
      <c r="AL284" s="373"/>
      <c r="AM284" s="373"/>
      <c r="AN284" s="373"/>
      <c r="AO284" s="373"/>
      <c r="AP284" s="373"/>
      <c r="AQ284" s="373"/>
      <c r="AR284" s="373"/>
      <c r="AS284" s="373"/>
      <c r="AT284" s="373"/>
      <c r="AU284" s="373"/>
      <c r="AV284" s="373"/>
      <c r="AW284" s="373"/>
      <c r="AX284" s="373"/>
      <c r="AY284" s="373"/>
      <c r="AZ284" s="373"/>
      <c r="BA284" s="373"/>
      <c r="BB284" s="373"/>
      <c r="BC284" s="373"/>
      <c r="BD284" s="373"/>
    </row>
    <row r="285" spans="1:56" s="377" customFormat="1" x14ac:dyDescent="0.15">
      <c r="A285" s="379"/>
      <c r="B285" s="379"/>
      <c r="C285" s="379"/>
      <c r="D285" s="379"/>
      <c r="E285" s="379"/>
      <c r="F285" s="378"/>
      <c r="H285" s="375"/>
      <c r="I285" s="375"/>
      <c r="J285" s="375"/>
      <c r="K285" s="375"/>
      <c r="L285" s="375"/>
      <c r="M285" s="375"/>
      <c r="N285" s="375"/>
      <c r="O285" s="375"/>
      <c r="P285" s="374"/>
      <c r="Q285" s="374"/>
      <c r="R285" s="374"/>
      <c r="S285" s="373"/>
      <c r="T285" s="373"/>
      <c r="U285" s="373"/>
      <c r="V285" s="373"/>
      <c r="W285" s="373"/>
      <c r="X285" s="373"/>
      <c r="Y285" s="373"/>
      <c r="Z285" s="373"/>
      <c r="AA285" s="373"/>
      <c r="AB285" s="373"/>
      <c r="AC285" s="373"/>
      <c r="AD285" s="373"/>
      <c r="AE285" s="373"/>
      <c r="AF285" s="373"/>
      <c r="AG285" s="373"/>
      <c r="AH285" s="373"/>
      <c r="AI285" s="373"/>
      <c r="AJ285" s="373"/>
      <c r="AK285" s="373"/>
      <c r="AL285" s="373"/>
      <c r="AM285" s="373"/>
      <c r="AN285" s="373"/>
      <c r="AO285" s="373"/>
      <c r="AP285" s="373"/>
      <c r="AQ285" s="373"/>
      <c r="AR285" s="373"/>
      <c r="AS285" s="373"/>
      <c r="AT285" s="373"/>
      <c r="AU285" s="373"/>
      <c r="AV285" s="373"/>
      <c r="AW285" s="373"/>
      <c r="AX285" s="373"/>
      <c r="AY285" s="373"/>
      <c r="AZ285" s="373"/>
      <c r="BA285" s="373"/>
      <c r="BB285" s="373"/>
      <c r="BC285" s="373"/>
      <c r="BD285" s="373"/>
    </row>
    <row r="286" spans="1:56" s="377" customFormat="1" x14ac:dyDescent="0.15">
      <c r="A286" s="379"/>
      <c r="B286" s="379"/>
      <c r="C286" s="379"/>
      <c r="D286" s="379"/>
      <c r="E286" s="379"/>
      <c r="F286" s="378"/>
      <c r="H286" s="375"/>
      <c r="I286" s="375"/>
      <c r="J286" s="375"/>
      <c r="K286" s="375"/>
      <c r="L286" s="375"/>
      <c r="M286" s="375"/>
      <c r="N286" s="375"/>
      <c r="O286" s="375"/>
      <c r="P286" s="374"/>
      <c r="Q286" s="374"/>
      <c r="R286" s="374"/>
      <c r="S286" s="373"/>
      <c r="T286" s="373"/>
      <c r="U286" s="373"/>
      <c r="V286" s="373"/>
      <c r="W286" s="373"/>
      <c r="X286" s="373"/>
      <c r="Y286" s="373"/>
      <c r="Z286" s="373"/>
      <c r="AA286" s="373"/>
      <c r="AB286" s="373"/>
      <c r="AC286" s="373"/>
      <c r="AD286" s="373"/>
      <c r="AE286" s="373"/>
      <c r="AF286" s="373"/>
      <c r="AG286" s="373"/>
      <c r="AH286" s="373"/>
      <c r="AI286" s="373"/>
      <c r="AJ286" s="373"/>
      <c r="AK286" s="373"/>
      <c r="AL286" s="373"/>
      <c r="AM286" s="373"/>
      <c r="AN286" s="373"/>
      <c r="AO286" s="373"/>
      <c r="AP286" s="373"/>
      <c r="AQ286" s="373"/>
      <c r="AR286" s="373"/>
      <c r="AS286" s="373"/>
      <c r="AT286" s="373"/>
      <c r="AU286" s="373"/>
      <c r="AV286" s="373"/>
      <c r="AW286" s="373"/>
      <c r="AX286" s="373"/>
      <c r="AY286" s="373"/>
      <c r="AZ286" s="373"/>
      <c r="BA286" s="373"/>
      <c r="BB286" s="373"/>
      <c r="BC286" s="373"/>
      <c r="BD286" s="373"/>
    </row>
    <row r="287" spans="1:56" s="377" customFormat="1" x14ac:dyDescent="0.15">
      <c r="A287" s="379"/>
      <c r="B287" s="379"/>
      <c r="C287" s="379"/>
      <c r="D287" s="379"/>
      <c r="E287" s="379"/>
      <c r="F287" s="378"/>
      <c r="H287" s="375"/>
      <c r="I287" s="375"/>
      <c r="J287" s="375"/>
      <c r="K287" s="375"/>
      <c r="L287" s="375"/>
      <c r="M287" s="375"/>
      <c r="N287" s="375"/>
      <c r="O287" s="375"/>
      <c r="P287" s="374"/>
      <c r="Q287" s="374"/>
      <c r="R287" s="374"/>
      <c r="S287" s="373"/>
      <c r="T287" s="373"/>
      <c r="U287" s="373"/>
      <c r="V287" s="373"/>
      <c r="W287" s="373"/>
      <c r="X287" s="373"/>
      <c r="Y287" s="373"/>
      <c r="Z287" s="373"/>
      <c r="AA287" s="373"/>
      <c r="AB287" s="373"/>
      <c r="AC287" s="373"/>
      <c r="AD287" s="373"/>
      <c r="AE287" s="373"/>
      <c r="AF287" s="373"/>
      <c r="AG287" s="373"/>
      <c r="AH287" s="373"/>
      <c r="AI287" s="373"/>
      <c r="AJ287" s="373"/>
      <c r="AK287" s="373"/>
      <c r="AL287" s="373"/>
      <c r="AM287" s="373"/>
      <c r="AN287" s="373"/>
      <c r="AO287" s="373"/>
      <c r="AP287" s="373"/>
      <c r="AQ287" s="373"/>
      <c r="AR287" s="373"/>
      <c r="AS287" s="373"/>
      <c r="AT287" s="373"/>
      <c r="AU287" s="373"/>
      <c r="AV287" s="373"/>
      <c r="AW287" s="373"/>
      <c r="AX287" s="373"/>
      <c r="AY287" s="373"/>
      <c r="AZ287" s="373"/>
      <c r="BA287" s="373"/>
      <c r="BB287" s="373"/>
      <c r="BC287" s="373"/>
      <c r="BD287" s="373"/>
    </row>
    <row r="288" spans="1:56" s="377" customFormat="1" x14ac:dyDescent="0.15">
      <c r="A288" s="379"/>
      <c r="B288" s="379"/>
      <c r="C288" s="379"/>
      <c r="D288" s="379"/>
      <c r="E288" s="379"/>
      <c r="F288" s="378"/>
      <c r="H288" s="375"/>
      <c r="I288" s="375"/>
      <c r="J288" s="375"/>
      <c r="K288" s="375"/>
      <c r="L288" s="375"/>
      <c r="M288" s="375"/>
      <c r="N288" s="375"/>
      <c r="O288" s="375"/>
      <c r="P288" s="374"/>
      <c r="Q288" s="374"/>
      <c r="R288" s="374"/>
      <c r="S288" s="373"/>
      <c r="T288" s="373"/>
      <c r="U288" s="373"/>
      <c r="V288" s="373"/>
      <c r="W288" s="373"/>
      <c r="X288" s="373"/>
      <c r="Y288" s="373"/>
      <c r="Z288" s="373"/>
      <c r="AA288" s="373"/>
      <c r="AB288" s="373"/>
      <c r="AC288" s="373"/>
      <c r="AD288" s="373"/>
      <c r="AE288" s="373"/>
      <c r="AF288" s="373"/>
      <c r="AG288" s="373"/>
      <c r="AH288" s="373"/>
      <c r="AI288" s="373"/>
      <c r="AJ288" s="373"/>
      <c r="AK288" s="373"/>
      <c r="AL288" s="373"/>
      <c r="AM288" s="373"/>
      <c r="AN288" s="373"/>
      <c r="AO288" s="373"/>
      <c r="AP288" s="373"/>
      <c r="AQ288" s="373"/>
      <c r="AR288" s="373"/>
      <c r="AS288" s="373"/>
      <c r="AT288" s="373"/>
      <c r="AU288" s="373"/>
      <c r="AV288" s="373"/>
      <c r="AW288" s="373"/>
      <c r="AX288" s="373"/>
      <c r="AY288" s="373"/>
      <c r="AZ288" s="373"/>
      <c r="BA288" s="373"/>
      <c r="BB288" s="373"/>
      <c r="BC288" s="373"/>
      <c r="BD288" s="373"/>
    </row>
    <row r="289" spans="1:56" s="377" customFormat="1" x14ac:dyDescent="0.15">
      <c r="A289" s="379"/>
      <c r="B289" s="379"/>
      <c r="C289" s="379"/>
      <c r="D289" s="379"/>
      <c r="E289" s="379"/>
      <c r="F289" s="378"/>
      <c r="H289" s="375"/>
      <c r="I289" s="375"/>
      <c r="J289" s="375"/>
      <c r="K289" s="375"/>
      <c r="L289" s="375"/>
      <c r="M289" s="375"/>
      <c r="N289" s="375"/>
      <c r="O289" s="375"/>
      <c r="P289" s="374"/>
      <c r="Q289" s="374"/>
      <c r="R289" s="374"/>
      <c r="S289" s="373"/>
      <c r="T289" s="373"/>
      <c r="U289" s="373"/>
      <c r="V289" s="373"/>
      <c r="W289" s="373"/>
      <c r="X289" s="373"/>
      <c r="Y289" s="373"/>
      <c r="Z289" s="373"/>
      <c r="AA289" s="373"/>
      <c r="AB289" s="373"/>
      <c r="AC289" s="373"/>
      <c r="AD289" s="373"/>
      <c r="AE289" s="373"/>
      <c r="AF289" s="373"/>
      <c r="AG289" s="373"/>
      <c r="AH289" s="373"/>
      <c r="AI289" s="373"/>
      <c r="AJ289" s="373"/>
      <c r="AK289" s="373"/>
      <c r="AL289" s="373"/>
      <c r="AM289" s="373"/>
      <c r="AN289" s="373"/>
      <c r="AO289" s="373"/>
      <c r="AP289" s="373"/>
      <c r="AQ289" s="373"/>
      <c r="AR289" s="373"/>
      <c r="AS289" s="373"/>
      <c r="AT289" s="373"/>
      <c r="AU289" s="373"/>
      <c r="AV289" s="373"/>
      <c r="AW289" s="373"/>
      <c r="AX289" s="373"/>
      <c r="AY289" s="373"/>
      <c r="AZ289" s="373"/>
      <c r="BA289" s="373"/>
      <c r="BB289" s="373"/>
      <c r="BC289" s="373"/>
      <c r="BD289" s="373"/>
    </row>
    <row r="290" spans="1:56" s="377" customFormat="1" x14ac:dyDescent="0.15">
      <c r="A290" s="379"/>
      <c r="B290" s="379"/>
      <c r="C290" s="379"/>
      <c r="D290" s="379"/>
      <c r="E290" s="379"/>
      <c r="F290" s="378"/>
      <c r="H290" s="375"/>
      <c r="I290" s="375"/>
      <c r="J290" s="375"/>
      <c r="K290" s="375"/>
      <c r="L290" s="375"/>
      <c r="M290" s="375"/>
      <c r="N290" s="375"/>
      <c r="O290" s="375"/>
      <c r="P290" s="374"/>
      <c r="Q290" s="374"/>
      <c r="R290" s="374"/>
      <c r="S290" s="373"/>
      <c r="T290" s="373"/>
      <c r="U290" s="373"/>
      <c r="V290" s="373"/>
      <c r="W290" s="373"/>
      <c r="X290" s="373"/>
      <c r="Y290" s="373"/>
      <c r="Z290" s="373"/>
      <c r="AA290" s="373"/>
      <c r="AB290" s="373"/>
      <c r="AC290" s="373"/>
      <c r="AD290" s="373"/>
      <c r="AE290" s="373"/>
      <c r="AF290" s="373"/>
      <c r="AG290" s="373"/>
      <c r="AH290" s="373"/>
      <c r="AI290" s="373"/>
      <c r="AJ290" s="373"/>
      <c r="AK290" s="373"/>
      <c r="AL290" s="373"/>
      <c r="AM290" s="373"/>
      <c r="AN290" s="373"/>
      <c r="AO290" s="373"/>
      <c r="AP290" s="373"/>
      <c r="AQ290" s="373"/>
      <c r="AR290" s="373"/>
      <c r="AS290" s="373"/>
      <c r="AT290" s="373"/>
      <c r="AU290" s="373"/>
      <c r="AV290" s="373"/>
      <c r="AW290" s="373"/>
      <c r="AX290" s="373"/>
      <c r="AY290" s="373"/>
      <c r="AZ290" s="373"/>
      <c r="BA290" s="373"/>
      <c r="BB290" s="373"/>
      <c r="BC290" s="373"/>
      <c r="BD290" s="373"/>
    </row>
    <row r="291" spans="1:56" s="377" customFormat="1" x14ac:dyDescent="0.15">
      <c r="A291" s="379"/>
      <c r="B291" s="379"/>
      <c r="C291" s="379"/>
      <c r="D291" s="379"/>
      <c r="E291" s="379"/>
      <c r="F291" s="378"/>
      <c r="H291" s="375"/>
      <c r="I291" s="375"/>
      <c r="J291" s="375"/>
      <c r="K291" s="375"/>
      <c r="L291" s="375"/>
      <c r="M291" s="375"/>
      <c r="N291" s="375"/>
      <c r="O291" s="375"/>
      <c r="P291" s="374"/>
      <c r="Q291" s="374"/>
      <c r="R291" s="374"/>
      <c r="S291" s="373"/>
      <c r="T291" s="373"/>
      <c r="U291" s="373"/>
      <c r="V291" s="373"/>
      <c r="W291" s="373"/>
      <c r="X291" s="373"/>
      <c r="Y291" s="373"/>
      <c r="Z291" s="373"/>
      <c r="AA291" s="373"/>
      <c r="AB291" s="373"/>
      <c r="AC291" s="373"/>
      <c r="AD291" s="373"/>
      <c r="AE291" s="373"/>
      <c r="AF291" s="373"/>
      <c r="AG291" s="373"/>
      <c r="AH291" s="373"/>
      <c r="AI291" s="373"/>
      <c r="AJ291" s="373"/>
      <c r="AK291" s="373"/>
      <c r="AL291" s="373"/>
      <c r="AM291" s="373"/>
      <c r="AN291" s="373"/>
      <c r="AO291" s="373"/>
      <c r="AP291" s="373"/>
      <c r="AQ291" s="373"/>
      <c r="AR291" s="373"/>
      <c r="AS291" s="373"/>
      <c r="AT291" s="373"/>
      <c r="AU291" s="373"/>
      <c r="AV291" s="373"/>
      <c r="AW291" s="373"/>
      <c r="AX291" s="373"/>
      <c r="AY291" s="373"/>
      <c r="AZ291" s="373"/>
      <c r="BA291" s="373"/>
      <c r="BB291" s="373"/>
      <c r="BC291" s="373"/>
      <c r="BD291" s="373"/>
    </row>
    <row r="292" spans="1:56" s="377" customFormat="1" x14ac:dyDescent="0.15">
      <c r="A292" s="379"/>
      <c r="B292" s="379"/>
      <c r="C292" s="379"/>
      <c r="D292" s="379"/>
      <c r="E292" s="379"/>
      <c r="F292" s="378"/>
      <c r="H292" s="375"/>
      <c r="I292" s="375"/>
      <c r="J292" s="375"/>
      <c r="K292" s="375"/>
      <c r="L292" s="375"/>
      <c r="M292" s="375"/>
      <c r="N292" s="375"/>
      <c r="O292" s="375"/>
      <c r="P292" s="374"/>
      <c r="Q292" s="374"/>
      <c r="R292" s="374"/>
      <c r="S292" s="373"/>
      <c r="T292" s="373"/>
      <c r="U292" s="373"/>
      <c r="V292" s="373"/>
      <c r="W292" s="373"/>
      <c r="X292" s="373"/>
      <c r="Y292" s="373"/>
      <c r="Z292" s="373"/>
      <c r="AA292" s="373"/>
      <c r="AB292" s="373"/>
      <c r="AC292" s="373"/>
      <c r="AD292" s="373"/>
      <c r="AE292" s="373"/>
      <c r="AF292" s="373"/>
      <c r="AG292" s="373"/>
      <c r="AH292" s="373"/>
      <c r="AI292" s="373"/>
      <c r="AJ292" s="373"/>
      <c r="AK292" s="373"/>
      <c r="AL292" s="373"/>
      <c r="AM292" s="373"/>
      <c r="AN292" s="373"/>
      <c r="AO292" s="373"/>
      <c r="AP292" s="373"/>
      <c r="AQ292" s="373"/>
      <c r="AR292" s="373"/>
      <c r="AS292" s="373"/>
      <c r="AT292" s="373"/>
      <c r="AU292" s="373"/>
      <c r="AV292" s="373"/>
      <c r="AW292" s="373"/>
      <c r="AX292" s="373"/>
      <c r="AY292" s="373"/>
      <c r="AZ292" s="373"/>
      <c r="BA292" s="373"/>
      <c r="BB292" s="373"/>
      <c r="BC292" s="373"/>
      <c r="BD292" s="373"/>
    </row>
    <row r="293" spans="1:56" s="377" customFormat="1" x14ac:dyDescent="0.15">
      <c r="A293" s="379"/>
      <c r="B293" s="379"/>
      <c r="C293" s="379"/>
      <c r="D293" s="379"/>
      <c r="E293" s="379"/>
      <c r="F293" s="378"/>
      <c r="H293" s="375"/>
      <c r="I293" s="375"/>
      <c r="J293" s="375"/>
      <c r="K293" s="375"/>
      <c r="L293" s="375"/>
      <c r="M293" s="375"/>
      <c r="N293" s="375"/>
      <c r="O293" s="375"/>
      <c r="P293" s="374"/>
      <c r="Q293" s="374"/>
      <c r="R293" s="374"/>
      <c r="S293" s="373"/>
      <c r="T293" s="373"/>
      <c r="U293" s="373"/>
      <c r="V293" s="373"/>
      <c r="W293" s="373"/>
      <c r="X293" s="373"/>
      <c r="Y293" s="373"/>
      <c r="Z293" s="373"/>
      <c r="AA293" s="373"/>
      <c r="AB293" s="373"/>
      <c r="AC293" s="373"/>
      <c r="AD293" s="373"/>
      <c r="AE293" s="373"/>
      <c r="AF293" s="373"/>
      <c r="AG293" s="373"/>
      <c r="AH293" s="373"/>
      <c r="AI293" s="373"/>
      <c r="AJ293" s="373"/>
      <c r="AK293" s="373"/>
      <c r="AL293" s="373"/>
      <c r="AM293" s="373"/>
      <c r="AN293" s="373"/>
      <c r="AO293" s="373"/>
      <c r="AP293" s="373"/>
      <c r="AQ293" s="373"/>
      <c r="AR293" s="373"/>
      <c r="AS293" s="373"/>
      <c r="AT293" s="373"/>
      <c r="AU293" s="373"/>
      <c r="AV293" s="373"/>
      <c r="AW293" s="373"/>
      <c r="AX293" s="373"/>
      <c r="AY293" s="373"/>
      <c r="AZ293" s="373"/>
      <c r="BA293" s="373"/>
      <c r="BB293" s="373"/>
      <c r="BC293" s="373"/>
      <c r="BD293" s="373"/>
    </row>
    <row r="294" spans="1:56" s="377" customFormat="1" x14ac:dyDescent="0.15">
      <c r="A294" s="379"/>
      <c r="B294" s="379"/>
      <c r="C294" s="379"/>
      <c r="D294" s="379"/>
      <c r="E294" s="379"/>
      <c r="F294" s="378"/>
      <c r="H294" s="375"/>
      <c r="I294" s="375"/>
      <c r="J294" s="375"/>
      <c r="K294" s="375"/>
      <c r="L294" s="375"/>
      <c r="M294" s="375"/>
      <c r="N294" s="375"/>
      <c r="O294" s="375"/>
      <c r="P294" s="374"/>
      <c r="Q294" s="374"/>
      <c r="R294" s="374"/>
      <c r="S294" s="373"/>
      <c r="T294" s="373"/>
      <c r="U294" s="373"/>
      <c r="V294" s="373"/>
      <c r="W294" s="373"/>
      <c r="X294" s="373"/>
      <c r="Y294" s="373"/>
      <c r="Z294" s="373"/>
      <c r="AA294" s="373"/>
      <c r="AB294" s="373"/>
      <c r="AC294" s="373"/>
      <c r="AD294" s="373"/>
      <c r="AE294" s="373"/>
      <c r="AF294" s="373"/>
      <c r="AG294" s="373"/>
      <c r="AH294" s="373"/>
      <c r="AI294" s="373"/>
      <c r="AJ294" s="373"/>
      <c r="AK294" s="373"/>
      <c r="AL294" s="373"/>
      <c r="AM294" s="373"/>
      <c r="AN294" s="373"/>
      <c r="AO294" s="373"/>
      <c r="AP294" s="373"/>
      <c r="AQ294" s="373"/>
      <c r="AR294" s="373"/>
      <c r="AS294" s="373"/>
      <c r="AT294" s="373"/>
      <c r="AU294" s="373"/>
      <c r="AV294" s="373"/>
      <c r="AW294" s="373"/>
      <c r="AX294" s="373"/>
      <c r="AY294" s="373"/>
      <c r="AZ294" s="373"/>
      <c r="BA294" s="373"/>
      <c r="BB294" s="373"/>
      <c r="BC294" s="373"/>
      <c r="BD294" s="373"/>
    </row>
    <row r="295" spans="1:56" s="377" customFormat="1" x14ac:dyDescent="0.15">
      <c r="A295" s="379"/>
      <c r="B295" s="379"/>
      <c r="C295" s="379"/>
      <c r="D295" s="379"/>
      <c r="E295" s="379"/>
      <c r="F295" s="378"/>
      <c r="H295" s="375"/>
      <c r="I295" s="375"/>
      <c r="J295" s="375"/>
      <c r="K295" s="375"/>
      <c r="L295" s="375"/>
      <c r="M295" s="375"/>
      <c r="N295" s="375"/>
      <c r="O295" s="375"/>
      <c r="P295" s="374"/>
      <c r="Q295" s="374"/>
      <c r="R295" s="374"/>
      <c r="S295" s="373"/>
      <c r="T295" s="373"/>
      <c r="U295" s="373"/>
      <c r="V295" s="373"/>
      <c r="W295" s="373"/>
      <c r="X295" s="373"/>
      <c r="Y295" s="373"/>
      <c r="Z295" s="373"/>
      <c r="AA295" s="373"/>
      <c r="AB295" s="373"/>
      <c r="AC295" s="373"/>
      <c r="AD295" s="373"/>
      <c r="AE295" s="373"/>
      <c r="AF295" s="373"/>
      <c r="AG295" s="373"/>
      <c r="AH295" s="373"/>
      <c r="AI295" s="373"/>
      <c r="AJ295" s="373"/>
      <c r="AK295" s="373"/>
      <c r="AL295" s="373"/>
      <c r="AM295" s="373"/>
      <c r="AN295" s="373"/>
      <c r="AO295" s="373"/>
      <c r="AP295" s="373"/>
      <c r="AQ295" s="373"/>
      <c r="AR295" s="373"/>
      <c r="AS295" s="373"/>
      <c r="AT295" s="373"/>
      <c r="AU295" s="373"/>
      <c r="AV295" s="373"/>
      <c r="AW295" s="373"/>
      <c r="AX295" s="373"/>
      <c r="AY295" s="373"/>
      <c r="AZ295" s="373"/>
      <c r="BA295" s="373"/>
      <c r="BB295" s="373"/>
      <c r="BC295" s="373"/>
      <c r="BD295" s="373"/>
    </row>
    <row r="296" spans="1:56" s="377" customFormat="1" x14ac:dyDescent="0.15">
      <c r="A296" s="379"/>
      <c r="B296" s="379"/>
      <c r="C296" s="379"/>
      <c r="D296" s="379"/>
      <c r="E296" s="379"/>
      <c r="F296" s="378"/>
      <c r="H296" s="375"/>
      <c r="I296" s="375"/>
      <c r="J296" s="375"/>
      <c r="K296" s="375"/>
      <c r="L296" s="375"/>
      <c r="M296" s="375"/>
      <c r="N296" s="375"/>
      <c r="O296" s="375"/>
      <c r="P296" s="374"/>
      <c r="Q296" s="374"/>
      <c r="R296" s="374"/>
      <c r="S296" s="373"/>
      <c r="T296" s="373"/>
      <c r="U296" s="373"/>
      <c r="V296" s="373"/>
      <c r="W296" s="373"/>
      <c r="X296" s="373"/>
      <c r="Y296" s="373"/>
      <c r="Z296" s="373"/>
      <c r="AA296" s="373"/>
      <c r="AB296" s="373"/>
      <c r="AC296" s="373"/>
      <c r="AD296" s="373"/>
      <c r="AE296" s="373"/>
      <c r="AF296" s="373"/>
      <c r="AG296" s="373"/>
      <c r="AH296" s="373"/>
      <c r="AI296" s="373"/>
      <c r="AJ296" s="373"/>
      <c r="AK296" s="373"/>
      <c r="AL296" s="373"/>
      <c r="AM296" s="373"/>
      <c r="AN296" s="373"/>
      <c r="AO296" s="373"/>
      <c r="AP296" s="373"/>
      <c r="AQ296" s="373"/>
      <c r="AR296" s="373"/>
      <c r="AS296" s="373"/>
      <c r="AT296" s="373"/>
      <c r="AU296" s="373"/>
      <c r="AV296" s="373"/>
      <c r="AW296" s="373"/>
      <c r="AX296" s="373"/>
      <c r="AY296" s="373"/>
      <c r="AZ296" s="373"/>
      <c r="BA296" s="373"/>
      <c r="BB296" s="373"/>
      <c r="BC296" s="373"/>
      <c r="BD296" s="373"/>
    </row>
    <row r="297" spans="1:56" s="377" customFormat="1" x14ac:dyDescent="0.15">
      <c r="A297" s="379"/>
      <c r="B297" s="379"/>
      <c r="C297" s="379"/>
      <c r="D297" s="379"/>
      <c r="E297" s="379"/>
      <c r="F297" s="378"/>
      <c r="H297" s="375"/>
      <c r="I297" s="375"/>
      <c r="J297" s="375"/>
      <c r="K297" s="375"/>
      <c r="L297" s="375"/>
      <c r="M297" s="375"/>
      <c r="N297" s="375"/>
      <c r="O297" s="375"/>
      <c r="P297" s="374"/>
      <c r="Q297" s="374"/>
      <c r="R297" s="374"/>
      <c r="S297" s="373"/>
      <c r="T297" s="373"/>
      <c r="U297" s="373"/>
      <c r="V297" s="373"/>
      <c r="W297" s="373"/>
      <c r="X297" s="373"/>
      <c r="Y297" s="373"/>
      <c r="Z297" s="373"/>
      <c r="AA297" s="373"/>
      <c r="AB297" s="373"/>
      <c r="AC297" s="373"/>
      <c r="AD297" s="373"/>
      <c r="AE297" s="373"/>
      <c r="AF297" s="373"/>
      <c r="AG297" s="373"/>
      <c r="AH297" s="373"/>
      <c r="AI297" s="373"/>
      <c r="AJ297" s="373"/>
      <c r="AK297" s="373"/>
      <c r="AL297" s="373"/>
      <c r="AM297" s="373"/>
      <c r="AN297" s="373"/>
      <c r="AO297" s="373"/>
      <c r="AP297" s="373"/>
      <c r="AQ297" s="373"/>
      <c r="AR297" s="373"/>
      <c r="AS297" s="373"/>
      <c r="AT297" s="373"/>
      <c r="AU297" s="373"/>
      <c r="AV297" s="373"/>
      <c r="AW297" s="373"/>
      <c r="AX297" s="373"/>
      <c r="AY297" s="373"/>
      <c r="AZ297" s="373"/>
      <c r="BA297" s="373"/>
      <c r="BB297" s="373"/>
      <c r="BC297" s="373"/>
      <c r="BD297" s="373"/>
    </row>
    <row r="298" spans="1:56" s="377" customFormat="1" x14ac:dyDescent="0.15">
      <c r="A298" s="379"/>
      <c r="B298" s="379"/>
      <c r="C298" s="379"/>
      <c r="D298" s="379"/>
      <c r="E298" s="379"/>
      <c r="F298" s="378"/>
      <c r="H298" s="375"/>
      <c r="I298" s="375"/>
      <c r="J298" s="375"/>
      <c r="K298" s="375"/>
      <c r="L298" s="375"/>
      <c r="M298" s="375"/>
      <c r="N298" s="375"/>
      <c r="O298" s="375"/>
      <c r="P298" s="374"/>
      <c r="Q298" s="374"/>
      <c r="R298" s="374"/>
      <c r="S298" s="373"/>
      <c r="T298" s="373"/>
      <c r="U298" s="373"/>
      <c r="V298" s="373"/>
      <c r="W298" s="373"/>
      <c r="X298" s="373"/>
      <c r="Y298" s="373"/>
      <c r="Z298" s="373"/>
      <c r="AA298" s="373"/>
      <c r="AB298" s="373"/>
      <c r="AC298" s="373"/>
      <c r="AD298" s="373"/>
      <c r="AE298" s="373"/>
      <c r="AF298" s="373"/>
      <c r="AG298" s="373"/>
      <c r="AH298" s="373"/>
      <c r="AI298" s="373"/>
      <c r="AJ298" s="373"/>
      <c r="AK298" s="373"/>
      <c r="AL298" s="373"/>
      <c r="AM298" s="373"/>
      <c r="AN298" s="373"/>
      <c r="AO298" s="373"/>
      <c r="AP298" s="373"/>
      <c r="AQ298" s="373"/>
      <c r="AR298" s="373"/>
      <c r="AS298" s="373"/>
      <c r="AT298" s="373"/>
      <c r="AU298" s="373"/>
      <c r="AV298" s="373"/>
      <c r="AW298" s="373"/>
      <c r="AX298" s="373"/>
      <c r="AY298" s="373"/>
      <c r="AZ298" s="373"/>
      <c r="BA298" s="373"/>
      <c r="BB298" s="373"/>
      <c r="BC298" s="373"/>
      <c r="BD298" s="373"/>
    </row>
    <row r="299" spans="1:56" s="377" customFormat="1" x14ac:dyDescent="0.15">
      <c r="A299" s="379"/>
      <c r="B299" s="379"/>
      <c r="C299" s="379"/>
      <c r="D299" s="379"/>
      <c r="E299" s="379"/>
      <c r="F299" s="378"/>
      <c r="H299" s="375"/>
      <c r="I299" s="375"/>
      <c r="J299" s="375"/>
      <c r="K299" s="375"/>
      <c r="L299" s="375"/>
      <c r="M299" s="375"/>
      <c r="N299" s="375"/>
      <c r="O299" s="375"/>
      <c r="P299" s="374"/>
      <c r="Q299" s="374"/>
      <c r="R299" s="374"/>
      <c r="S299" s="373"/>
      <c r="T299" s="373"/>
      <c r="U299" s="373"/>
      <c r="V299" s="373"/>
      <c r="W299" s="373"/>
      <c r="X299" s="373"/>
      <c r="Y299" s="373"/>
      <c r="Z299" s="373"/>
      <c r="AA299" s="373"/>
      <c r="AB299" s="373"/>
      <c r="AC299" s="373"/>
      <c r="AD299" s="373"/>
      <c r="AE299" s="373"/>
      <c r="AF299" s="373"/>
      <c r="AG299" s="373"/>
      <c r="AH299" s="373"/>
      <c r="AI299" s="373"/>
      <c r="AJ299" s="373"/>
      <c r="AK299" s="373"/>
      <c r="AL299" s="373"/>
      <c r="AM299" s="373"/>
      <c r="AN299" s="373"/>
      <c r="AO299" s="373"/>
      <c r="AP299" s="373"/>
      <c r="AQ299" s="373"/>
      <c r="AR299" s="373"/>
      <c r="AS299" s="373"/>
      <c r="AT299" s="373"/>
      <c r="AU299" s="373"/>
      <c r="AV299" s="373"/>
      <c r="AW299" s="373"/>
      <c r="AX299" s="373"/>
      <c r="AY299" s="373"/>
      <c r="AZ299" s="373"/>
      <c r="BA299" s="373"/>
      <c r="BB299" s="373"/>
      <c r="BC299" s="373"/>
      <c r="BD299" s="373"/>
    </row>
    <row r="300" spans="1:56" s="377" customFormat="1" x14ac:dyDescent="0.15">
      <c r="A300" s="379"/>
      <c r="B300" s="379"/>
      <c r="C300" s="379"/>
      <c r="D300" s="379"/>
      <c r="E300" s="379"/>
      <c r="F300" s="378"/>
      <c r="H300" s="375"/>
      <c r="I300" s="375"/>
      <c r="J300" s="375"/>
      <c r="K300" s="375"/>
      <c r="L300" s="375"/>
      <c r="M300" s="375"/>
      <c r="N300" s="375"/>
      <c r="O300" s="375"/>
      <c r="P300" s="374"/>
      <c r="Q300" s="374"/>
      <c r="R300" s="374"/>
      <c r="S300" s="373"/>
      <c r="T300" s="373"/>
      <c r="U300" s="373"/>
      <c r="V300" s="373"/>
      <c r="W300" s="373"/>
      <c r="X300" s="373"/>
      <c r="Y300" s="373"/>
      <c r="Z300" s="373"/>
      <c r="AA300" s="373"/>
      <c r="AB300" s="373"/>
      <c r="AC300" s="373"/>
      <c r="AD300" s="373"/>
      <c r="AE300" s="373"/>
      <c r="AF300" s="373"/>
      <c r="AG300" s="373"/>
      <c r="AH300" s="373"/>
      <c r="AI300" s="373"/>
      <c r="AJ300" s="373"/>
      <c r="AK300" s="373"/>
      <c r="AL300" s="373"/>
      <c r="AM300" s="373"/>
      <c r="AN300" s="373"/>
      <c r="AO300" s="373"/>
      <c r="AP300" s="373"/>
      <c r="AQ300" s="373"/>
      <c r="AR300" s="373"/>
      <c r="AS300" s="373"/>
      <c r="AT300" s="373"/>
      <c r="AU300" s="373"/>
      <c r="AV300" s="373"/>
      <c r="AW300" s="373"/>
      <c r="AX300" s="373"/>
      <c r="AY300" s="373"/>
      <c r="AZ300" s="373"/>
      <c r="BA300" s="373"/>
      <c r="BB300" s="373"/>
      <c r="BC300" s="373"/>
      <c r="BD300" s="373"/>
    </row>
    <row r="301" spans="1:56" s="377" customFormat="1" x14ac:dyDescent="0.15">
      <c r="A301" s="379"/>
      <c r="B301" s="379"/>
      <c r="C301" s="379"/>
      <c r="D301" s="379"/>
      <c r="E301" s="379"/>
      <c r="F301" s="378"/>
      <c r="H301" s="375"/>
      <c r="I301" s="375"/>
      <c r="J301" s="375"/>
      <c r="K301" s="375"/>
      <c r="L301" s="375"/>
      <c r="M301" s="375"/>
      <c r="N301" s="375"/>
      <c r="O301" s="375"/>
      <c r="P301" s="374"/>
      <c r="Q301" s="374"/>
      <c r="R301" s="374"/>
      <c r="S301" s="373"/>
      <c r="T301" s="373"/>
      <c r="U301" s="373"/>
      <c r="V301" s="373"/>
      <c r="W301" s="373"/>
      <c r="X301" s="373"/>
      <c r="Y301" s="373"/>
      <c r="Z301" s="373"/>
      <c r="AA301" s="373"/>
      <c r="AB301" s="373"/>
      <c r="AC301" s="373"/>
      <c r="AD301" s="373"/>
      <c r="AE301" s="373"/>
      <c r="AF301" s="373"/>
      <c r="AG301" s="373"/>
      <c r="AH301" s="373"/>
      <c r="AI301" s="373"/>
      <c r="AJ301" s="373"/>
      <c r="AK301" s="373"/>
      <c r="AL301" s="373"/>
      <c r="AM301" s="373"/>
      <c r="AN301" s="373"/>
      <c r="AO301" s="373"/>
      <c r="AP301" s="373"/>
      <c r="AQ301" s="373"/>
      <c r="AR301" s="373"/>
      <c r="AS301" s="373"/>
      <c r="AT301" s="373"/>
      <c r="AU301" s="373"/>
      <c r="AV301" s="373"/>
      <c r="AW301" s="373"/>
      <c r="AX301" s="373"/>
      <c r="AY301" s="373"/>
      <c r="AZ301" s="373"/>
      <c r="BA301" s="373"/>
      <c r="BB301" s="373"/>
      <c r="BC301" s="373"/>
      <c r="BD301" s="373"/>
    </row>
    <row r="302" spans="1:56" s="377" customFormat="1" x14ac:dyDescent="0.15">
      <c r="A302" s="379"/>
      <c r="B302" s="379"/>
      <c r="C302" s="379"/>
      <c r="D302" s="379"/>
      <c r="E302" s="379"/>
      <c r="F302" s="378"/>
      <c r="H302" s="375"/>
      <c r="I302" s="375"/>
      <c r="J302" s="375"/>
      <c r="K302" s="375"/>
      <c r="L302" s="375"/>
      <c r="M302" s="375"/>
      <c r="N302" s="375"/>
      <c r="O302" s="375"/>
      <c r="P302" s="374"/>
      <c r="Q302" s="374"/>
      <c r="R302" s="374"/>
      <c r="S302" s="373"/>
      <c r="T302" s="373"/>
      <c r="U302" s="373"/>
      <c r="V302" s="373"/>
      <c r="W302" s="373"/>
      <c r="X302" s="373"/>
      <c r="Y302" s="373"/>
      <c r="Z302" s="373"/>
      <c r="AA302" s="373"/>
      <c r="AB302" s="373"/>
      <c r="AC302" s="373"/>
      <c r="AD302" s="373"/>
      <c r="AE302" s="373"/>
      <c r="AF302" s="373"/>
      <c r="AG302" s="373"/>
      <c r="AH302" s="373"/>
      <c r="AI302" s="373"/>
      <c r="AJ302" s="373"/>
      <c r="AK302" s="373"/>
      <c r="AL302" s="373"/>
      <c r="AM302" s="373"/>
      <c r="AN302" s="373"/>
      <c r="AO302" s="373"/>
      <c r="AP302" s="373"/>
      <c r="AQ302" s="373"/>
      <c r="AR302" s="373"/>
      <c r="AS302" s="373"/>
      <c r="AT302" s="373"/>
      <c r="AU302" s="373"/>
      <c r="AV302" s="373"/>
      <c r="AW302" s="373"/>
      <c r="AX302" s="373"/>
      <c r="AY302" s="373"/>
      <c r="AZ302" s="373"/>
      <c r="BA302" s="373"/>
      <c r="BB302" s="373"/>
      <c r="BC302" s="373"/>
      <c r="BD302" s="373"/>
    </row>
    <row r="303" spans="1:56" s="377" customFormat="1" x14ac:dyDescent="0.15">
      <c r="A303" s="379"/>
      <c r="B303" s="379"/>
      <c r="C303" s="379"/>
      <c r="D303" s="379"/>
      <c r="E303" s="379"/>
      <c r="F303" s="378"/>
      <c r="H303" s="375"/>
      <c r="I303" s="375"/>
      <c r="J303" s="375"/>
      <c r="K303" s="375"/>
      <c r="L303" s="375"/>
      <c r="M303" s="375"/>
      <c r="N303" s="375"/>
      <c r="O303" s="375"/>
      <c r="P303" s="374"/>
      <c r="Q303" s="374"/>
      <c r="R303" s="374"/>
      <c r="S303" s="373"/>
      <c r="T303" s="373"/>
      <c r="U303" s="373"/>
      <c r="V303" s="373"/>
      <c r="W303" s="373"/>
      <c r="X303" s="373"/>
      <c r="Y303" s="373"/>
      <c r="Z303" s="373"/>
      <c r="AA303" s="373"/>
      <c r="AB303" s="373"/>
      <c r="AC303" s="373"/>
      <c r="AD303" s="373"/>
      <c r="AE303" s="373"/>
      <c r="AF303" s="373"/>
      <c r="AG303" s="373"/>
      <c r="AH303" s="373"/>
      <c r="AI303" s="373"/>
      <c r="AJ303" s="373"/>
      <c r="AK303" s="373"/>
      <c r="AL303" s="373"/>
      <c r="AM303" s="373"/>
      <c r="AN303" s="373"/>
      <c r="AO303" s="373"/>
      <c r="AP303" s="373"/>
      <c r="AQ303" s="373"/>
      <c r="AR303" s="373"/>
      <c r="AS303" s="373"/>
      <c r="AT303" s="373"/>
      <c r="AU303" s="373"/>
      <c r="AV303" s="373"/>
      <c r="AW303" s="373"/>
      <c r="AX303" s="373"/>
      <c r="AY303" s="373"/>
      <c r="AZ303" s="373"/>
      <c r="BA303" s="373"/>
      <c r="BB303" s="373"/>
      <c r="BC303" s="373"/>
      <c r="BD303" s="373"/>
    </row>
    <row r="304" spans="1:56" s="377" customFormat="1" x14ac:dyDescent="0.15">
      <c r="A304" s="379"/>
      <c r="B304" s="379"/>
      <c r="C304" s="379"/>
      <c r="D304" s="379"/>
      <c r="E304" s="379"/>
      <c r="F304" s="378"/>
      <c r="H304" s="375"/>
      <c r="I304" s="375"/>
      <c r="J304" s="375"/>
      <c r="K304" s="375"/>
      <c r="L304" s="375"/>
      <c r="M304" s="375"/>
      <c r="N304" s="375"/>
      <c r="O304" s="375"/>
      <c r="P304" s="374"/>
      <c r="Q304" s="374"/>
      <c r="R304" s="374"/>
      <c r="S304" s="373"/>
      <c r="T304" s="373"/>
      <c r="U304" s="373"/>
      <c r="V304" s="373"/>
      <c r="W304" s="373"/>
      <c r="X304" s="373"/>
      <c r="Y304" s="373"/>
      <c r="Z304" s="373"/>
      <c r="AA304" s="373"/>
      <c r="AB304" s="373"/>
      <c r="AC304" s="373"/>
      <c r="AD304" s="373"/>
      <c r="AE304" s="373"/>
      <c r="AF304" s="373"/>
      <c r="AG304" s="373"/>
      <c r="AH304" s="373"/>
      <c r="AI304" s="373"/>
      <c r="AJ304" s="373"/>
      <c r="AK304" s="373"/>
      <c r="AL304" s="373"/>
      <c r="AM304" s="373"/>
      <c r="AN304" s="373"/>
      <c r="AO304" s="373"/>
      <c r="AP304" s="373"/>
      <c r="AQ304" s="373"/>
      <c r="AR304" s="373"/>
      <c r="AS304" s="373"/>
      <c r="AT304" s="373"/>
      <c r="AU304" s="373"/>
      <c r="AV304" s="373"/>
      <c r="AW304" s="373"/>
      <c r="AX304" s="373"/>
      <c r="AY304" s="373"/>
      <c r="AZ304" s="373"/>
      <c r="BA304" s="373"/>
      <c r="BB304" s="373"/>
      <c r="BC304" s="373"/>
      <c r="BD304" s="373"/>
    </row>
    <row r="305" spans="1:56" s="377" customFormat="1" x14ac:dyDescent="0.15">
      <c r="A305" s="379"/>
      <c r="B305" s="379"/>
      <c r="C305" s="379"/>
      <c r="D305" s="379"/>
      <c r="E305" s="379"/>
      <c r="F305" s="378"/>
      <c r="H305" s="375"/>
      <c r="I305" s="375"/>
      <c r="J305" s="375"/>
      <c r="K305" s="375"/>
      <c r="L305" s="375"/>
      <c r="M305" s="375"/>
      <c r="N305" s="375"/>
      <c r="O305" s="375"/>
      <c r="P305" s="374"/>
      <c r="Q305" s="374"/>
      <c r="R305" s="374"/>
      <c r="S305" s="373"/>
      <c r="T305" s="373"/>
      <c r="U305" s="373"/>
      <c r="V305" s="373"/>
      <c r="W305" s="373"/>
      <c r="X305" s="373"/>
      <c r="Y305" s="373"/>
      <c r="Z305" s="373"/>
      <c r="AA305" s="373"/>
      <c r="AB305" s="373"/>
      <c r="AC305" s="373"/>
      <c r="AD305" s="373"/>
      <c r="AE305" s="373"/>
      <c r="AF305" s="373"/>
      <c r="AG305" s="373"/>
      <c r="AH305" s="373"/>
      <c r="AI305" s="373"/>
      <c r="AJ305" s="373"/>
      <c r="AK305" s="373"/>
      <c r="AL305" s="373"/>
      <c r="AM305" s="373"/>
      <c r="AN305" s="373"/>
      <c r="AO305" s="373"/>
      <c r="AP305" s="373"/>
      <c r="AQ305" s="373"/>
      <c r="AR305" s="373"/>
      <c r="AS305" s="373"/>
      <c r="AT305" s="373"/>
      <c r="AU305" s="373"/>
      <c r="AV305" s="373"/>
      <c r="AW305" s="373"/>
      <c r="AX305" s="373"/>
      <c r="AY305" s="373"/>
      <c r="AZ305" s="373"/>
      <c r="BA305" s="373"/>
      <c r="BB305" s="373"/>
      <c r="BC305" s="373"/>
      <c r="BD305" s="373"/>
    </row>
    <row r="306" spans="1:56" s="377" customFormat="1" x14ac:dyDescent="0.15">
      <c r="A306" s="379"/>
      <c r="B306" s="379"/>
      <c r="C306" s="379"/>
      <c r="D306" s="379"/>
      <c r="E306" s="379"/>
      <c r="F306" s="378"/>
      <c r="H306" s="375"/>
      <c r="I306" s="375"/>
      <c r="J306" s="375"/>
      <c r="K306" s="375"/>
      <c r="L306" s="375"/>
      <c r="M306" s="375"/>
      <c r="N306" s="375"/>
      <c r="O306" s="375"/>
      <c r="P306" s="374"/>
      <c r="Q306" s="374"/>
      <c r="R306" s="374"/>
      <c r="S306" s="373"/>
      <c r="T306" s="373"/>
      <c r="U306" s="373"/>
      <c r="V306" s="373"/>
      <c r="W306" s="373"/>
      <c r="X306" s="373"/>
      <c r="Y306" s="373"/>
      <c r="Z306" s="373"/>
      <c r="AA306" s="373"/>
      <c r="AB306" s="373"/>
      <c r="AC306" s="373"/>
      <c r="AD306" s="373"/>
      <c r="AE306" s="373"/>
      <c r="AF306" s="373"/>
      <c r="AG306" s="373"/>
      <c r="AH306" s="373"/>
      <c r="AI306" s="373"/>
      <c r="AJ306" s="373"/>
      <c r="AK306" s="373"/>
      <c r="AL306" s="373"/>
      <c r="AM306" s="373"/>
      <c r="AN306" s="373"/>
      <c r="AO306" s="373"/>
      <c r="AP306" s="373"/>
      <c r="AQ306" s="373"/>
      <c r="AR306" s="373"/>
      <c r="AS306" s="373"/>
      <c r="AT306" s="373"/>
      <c r="AU306" s="373"/>
      <c r="AV306" s="373"/>
      <c r="AW306" s="373"/>
      <c r="AX306" s="373"/>
      <c r="AY306" s="373"/>
      <c r="AZ306" s="373"/>
      <c r="BA306" s="373"/>
      <c r="BB306" s="373"/>
      <c r="BC306" s="373"/>
      <c r="BD306" s="373"/>
    </row>
    <row r="307" spans="1:56" s="377" customFormat="1" x14ac:dyDescent="0.15">
      <c r="A307" s="379"/>
      <c r="B307" s="379"/>
      <c r="C307" s="379"/>
      <c r="D307" s="379"/>
      <c r="E307" s="379"/>
      <c r="F307" s="378"/>
      <c r="H307" s="375"/>
      <c r="I307" s="375"/>
      <c r="J307" s="375"/>
      <c r="K307" s="375"/>
      <c r="L307" s="375"/>
      <c r="M307" s="375"/>
      <c r="N307" s="375"/>
      <c r="O307" s="375"/>
      <c r="P307" s="374"/>
      <c r="Q307" s="374"/>
      <c r="R307" s="374"/>
      <c r="S307" s="373"/>
      <c r="T307" s="373"/>
      <c r="U307" s="373"/>
      <c r="V307" s="373"/>
      <c r="W307" s="373"/>
      <c r="X307" s="373"/>
      <c r="Y307" s="373"/>
      <c r="Z307" s="373"/>
      <c r="AA307" s="373"/>
      <c r="AB307" s="373"/>
      <c r="AC307" s="373"/>
      <c r="AD307" s="373"/>
      <c r="AE307" s="373"/>
      <c r="AF307" s="373"/>
      <c r="AG307" s="373"/>
      <c r="AH307" s="373"/>
      <c r="AI307" s="373"/>
      <c r="AJ307" s="373"/>
      <c r="AK307" s="373"/>
      <c r="AL307" s="373"/>
      <c r="AM307" s="373"/>
      <c r="AN307" s="373"/>
      <c r="AO307" s="373"/>
      <c r="AP307" s="373"/>
      <c r="AQ307" s="373"/>
      <c r="AR307" s="373"/>
      <c r="AS307" s="373"/>
      <c r="AT307" s="373"/>
      <c r="AU307" s="373"/>
      <c r="AV307" s="373"/>
      <c r="AW307" s="373"/>
      <c r="AX307" s="373"/>
      <c r="AY307" s="373"/>
      <c r="AZ307" s="373"/>
      <c r="BA307" s="373"/>
      <c r="BB307" s="373"/>
      <c r="BC307" s="373"/>
      <c r="BD307" s="373"/>
    </row>
    <row r="308" spans="1:56" s="377" customFormat="1" x14ac:dyDescent="0.15">
      <c r="A308" s="379"/>
      <c r="B308" s="379"/>
      <c r="C308" s="379"/>
      <c r="D308" s="379"/>
      <c r="E308" s="379"/>
      <c r="F308" s="378"/>
      <c r="H308" s="375"/>
      <c r="I308" s="375"/>
      <c r="J308" s="375"/>
      <c r="K308" s="375"/>
      <c r="L308" s="375"/>
      <c r="M308" s="375"/>
      <c r="N308" s="375"/>
      <c r="O308" s="375"/>
      <c r="P308" s="374"/>
      <c r="Q308" s="374"/>
      <c r="R308" s="374"/>
      <c r="S308" s="373"/>
      <c r="T308" s="373"/>
      <c r="U308" s="373"/>
      <c r="V308" s="373"/>
      <c r="W308" s="373"/>
      <c r="X308" s="373"/>
      <c r="Y308" s="373"/>
      <c r="Z308" s="373"/>
      <c r="AA308" s="373"/>
      <c r="AB308" s="373"/>
      <c r="AC308" s="373"/>
      <c r="AD308" s="373"/>
      <c r="AE308" s="373"/>
      <c r="AF308" s="373"/>
      <c r="AG308" s="373"/>
      <c r="AH308" s="373"/>
      <c r="AI308" s="373"/>
      <c r="AJ308" s="373"/>
      <c r="AK308" s="373"/>
      <c r="AL308" s="373"/>
      <c r="AM308" s="373"/>
      <c r="AN308" s="373"/>
      <c r="AO308" s="373"/>
      <c r="AP308" s="373"/>
      <c r="AQ308" s="373"/>
      <c r="AR308" s="373"/>
      <c r="AS308" s="373"/>
      <c r="AT308" s="373"/>
      <c r="AU308" s="373"/>
      <c r="AV308" s="373"/>
      <c r="AW308" s="373"/>
      <c r="AX308" s="373"/>
      <c r="AY308" s="373"/>
      <c r="AZ308" s="373"/>
      <c r="BA308" s="373"/>
      <c r="BB308" s="373"/>
      <c r="BC308" s="373"/>
      <c r="BD308" s="373"/>
    </row>
    <row r="309" spans="1:56" s="377" customFormat="1" x14ac:dyDescent="0.15">
      <c r="A309" s="379"/>
      <c r="B309" s="379"/>
      <c r="C309" s="379"/>
      <c r="D309" s="379"/>
      <c r="E309" s="379"/>
      <c r="F309" s="378"/>
      <c r="H309" s="375"/>
      <c r="I309" s="375"/>
      <c r="J309" s="375"/>
      <c r="K309" s="375"/>
      <c r="L309" s="375"/>
      <c r="M309" s="375"/>
      <c r="N309" s="375"/>
      <c r="O309" s="375"/>
      <c r="P309" s="374"/>
      <c r="Q309" s="374"/>
      <c r="R309" s="374"/>
      <c r="S309" s="373"/>
      <c r="T309" s="373"/>
      <c r="U309" s="373"/>
      <c r="V309" s="373"/>
      <c r="W309" s="373"/>
      <c r="X309" s="373"/>
      <c r="Y309" s="373"/>
      <c r="Z309" s="373"/>
      <c r="AA309" s="373"/>
      <c r="AB309" s="373"/>
      <c r="AC309" s="373"/>
      <c r="AD309" s="373"/>
      <c r="AE309" s="373"/>
      <c r="AF309" s="373"/>
      <c r="AG309" s="373"/>
      <c r="AH309" s="373"/>
      <c r="AI309" s="373"/>
      <c r="AJ309" s="373"/>
      <c r="AK309" s="373"/>
      <c r="AL309" s="373"/>
      <c r="AM309" s="373"/>
      <c r="AN309" s="373"/>
      <c r="AO309" s="373"/>
      <c r="AP309" s="373"/>
      <c r="AQ309" s="373"/>
      <c r="AR309" s="373"/>
      <c r="AS309" s="373"/>
      <c r="AT309" s="373"/>
      <c r="AU309" s="373"/>
      <c r="AV309" s="373"/>
      <c r="AW309" s="373"/>
      <c r="AX309" s="373"/>
      <c r="AY309" s="373"/>
      <c r="AZ309" s="373"/>
      <c r="BA309" s="373"/>
      <c r="BB309" s="373"/>
      <c r="BC309" s="373"/>
      <c r="BD309" s="373"/>
    </row>
    <row r="310" spans="1:56" s="377" customFormat="1" x14ac:dyDescent="0.15">
      <c r="A310" s="379"/>
      <c r="B310" s="379"/>
      <c r="C310" s="379"/>
      <c r="D310" s="379"/>
      <c r="E310" s="379"/>
      <c r="F310" s="378"/>
      <c r="H310" s="375"/>
      <c r="I310" s="375"/>
      <c r="J310" s="375"/>
      <c r="K310" s="375"/>
      <c r="L310" s="375"/>
      <c r="M310" s="375"/>
      <c r="N310" s="375"/>
      <c r="O310" s="375"/>
      <c r="P310" s="374"/>
      <c r="Q310" s="374"/>
      <c r="R310" s="374"/>
      <c r="S310" s="373"/>
      <c r="T310" s="373"/>
      <c r="U310" s="373"/>
      <c r="V310" s="373"/>
      <c r="W310" s="373"/>
      <c r="X310" s="373"/>
      <c r="Y310" s="373"/>
      <c r="Z310" s="373"/>
      <c r="AA310" s="373"/>
      <c r="AB310" s="373"/>
      <c r="AC310" s="373"/>
      <c r="AD310" s="373"/>
      <c r="AE310" s="373"/>
      <c r="AF310" s="373"/>
      <c r="AG310" s="373"/>
      <c r="AH310" s="373"/>
      <c r="AI310" s="373"/>
      <c r="AJ310" s="373"/>
      <c r="AK310" s="373"/>
      <c r="AL310" s="373"/>
      <c r="AM310" s="373"/>
      <c r="AN310" s="373"/>
      <c r="AO310" s="373"/>
      <c r="AP310" s="373"/>
      <c r="AQ310" s="373"/>
      <c r="AR310" s="373"/>
      <c r="AS310" s="373"/>
      <c r="AT310" s="373"/>
      <c r="AU310" s="373"/>
      <c r="AV310" s="373"/>
      <c r="AW310" s="373"/>
      <c r="AX310" s="373"/>
      <c r="AY310" s="373"/>
      <c r="AZ310" s="373"/>
      <c r="BA310" s="373"/>
      <c r="BB310" s="373"/>
      <c r="BC310" s="373"/>
      <c r="BD310" s="373"/>
    </row>
    <row r="311" spans="1:56" s="377" customFormat="1" x14ac:dyDescent="0.15">
      <c r="A311" s="379"/>
      <c r="B311" s="379"/>
      <c r="C311" s="379"/>
      <c r="D311" s="379"/>
      <c r="E311" s="379"/>
      <c r="F311" s="378"/>
      <c r="H311" s="375"/>
      <c r="I311" s="375"/>
      <c r="J311" s="375"/>
      <c r="K311" s="375"/>
      <c r="L311" s="375"/>
      <c r="M311" s="375"/>
      <c r="N311" s="375"/>
      <c r="O311" s="375"/>
      <c r="P311" s="374"/>
      <c r="Q311" s="374"/>
      <c r="R311" s="374"/>
      <c r="S311" s="373"/>
      <c r="T311" s="373"/>
      <c r="U311" s="373"/>
      <c r="V311" s="373"/>
      <c r="W311" s="373"/>
      <c r="X311" s="373"/>
      <c r="Y311" s="373"/>
      <c r="Z311" s="373"/>
      <c r="AA311" s="373"/>
      <c r="AB311" s="373"/>
      <c r="AC311" s="373"/>
      <c r="AD311" s="373"/>
      <c r="AE311" s="373"/>
      <c r="AF311" s="373"/>
      <c r="AG311" s="373"/>
      <c r="AH311" s="373"/>
      <c r="AI311" s="373"/>
      <c r="AJ311" s="373"/>
      <c r="AK311" s="373"/>
      <c r="AL311" s="373"/>
      <c r="AM311" s="373"/>
      <c r="AN311" s="373"/>
      <c r="AO311" s="373"/>
      <c r="AP311" s="373"/>
      <c r="AQ311" s="373"/>
      <c r="AR311" s="373"/>
      <c r="AS311" s="373"/>
      <c r="AT311" s="373"/>
      <c r="AU311" s="373"/>
      <c r="AV311" s="373"/>
      <c r="AW311" s="373"/>
      <c r="AX311" s="373"/>
      <c r="AY311" s="373"/>
      <c r="AZ311" s="373"/>
      <c r="BA311" s="373"/>
      <c r="BB311" s="373"/>
      <c r="BC311" s="373"/>
      <c r="BD311" s="373"/>
    </row>
    <row r="312" spans="1:56" s="377" customFormat="1" x14ac:dyDescent="0.15">
      <c r="A312" s="379"/>
      <c r="B312" s="379"/>
      <c r="C312" s="379"/>
      <c r="D312" s="379"/>
      <c r="E312" s="379"/>
      <c r="F312" s="378"/>
      <c r="H312" s="375"/>
      <c r="I312" s="375"/>
      <c r="J312" s="375"/>
      <c r="K312" s="375"/>
      <c r="L312" s="375"/>
      <c r="M312" s="375"/>
      <c r="N312" s="375"/>
      <c r="O312" s="375"/>
      <c r="P312" s="374"/>
      <c r="Q312" s="374"/>
      <c r="R312" s="374"/>
      <c r="S312" s="373"/>
      <c r="T312" s="373"/>
      <c r="U312" s="373"/>
      <c r="V312" s="373"/>
      <c r="W312" s="373"/>
      <c r="X312" s="373"/>
      <c r="Y312" s="373"/>
      <c r="Z312" s="373"/>
      <c r="AA312" s="373"/>
      <c r="AB312" s="373"/>
      <c r="AC312" s="373"/>
      <c r="AD312" s="373"/>
      <c r="AE312" s="373"/>
      <c r="AF312" s="373"/>
      <c r="AG312" s="373"/>
      <c r="AH312" s="373"/>
      <c r="AI312" s="373"/>
      <c r="AJ312" s="373"/>
      <c r="AK312" s="373"/>
      <c r="AL312" s="373"/>
      <c r="AM312" s="373"/>
      <c r="AN312" s="373"/>
      <c r="AO312" s="373"/>
      <c r="AP312" s="373"/>
      <c r="AQ312" s="373"/>
      <c r="AR312" s="373"/>
      <c r="AS312" s="373"/>
      <c r="AT312" s="373"/>
      <c r="AU312" s="373"/>
      <c r="AV312" s="373"/>
      <c r="AW312" s="373"/>
      <c r="AX312" s="373"/>
      <c r="AY312" s="373"/>
      <c r="AZ312" s="373"/>
      <c r="BA312" s="373"/>
      <c r="BB312" s="373"/>
      <c r="BC312" s="373"/>
      <c r="BD312" s="373"/>
    </row>
    <row r="313" spans="1:56" s="377" customFormat="1" x14ac:dyDescent="0.15">
      <c r="A313" s="379"/>
      <c r="B313" s="379"/>
      <c r="C313" s="379"/>
      <c r="D313" s="379"/>
      <c r="E313" s="379"/>
      <c r="F313" s="378"/>
      <c r="H313" s="375"/>
      <c r="I313" s="375"/>
      <c r="J313" s="375"/>
      <c r="K313" s="375"/>
      <c r="L313" s="375"/>
      <c r="M313" s="375"/>
      <c r="N313" s="375"/>
      <c r="O313" s="375"/>
      <c r="P313" s="374"/>
      <c r="Q313" s="374"/>
      <c r="R313" s="374"/>
      <c r="S313" s="373"/>
      <c r="T313" s="373"/>
      <c r="U313" s="373"/>
      <c r="V313" s="373"/>
      <c r="W313" s="373"/>
      <c r="X313" s="373"/>
      <c r="Y313" s="373"/>
      <c r="Z313" s="373"/>
      <c r="AA313" s="373"/>
      <c r="AB313" s="373"/>
      <c r="AC313" s="373"/>
      <c r="AD313" s="373"/>
      <c r="AE313" s="373"/>
      <c r="AF313" s="373"/>
      <c r="AG313" s="373"/>
      <c r="AH313" s="373"/>
      <c r="AI313" s="373"/>
      <c r="AJ313" s="373"/>
      <c r="AK313" s="373"/>
      <c r="AL313" s="373"/>
      <c r="AM313" s="373"/>
      <c r="AN313" s="373"/>
      <c r="AO313" s="373"/>
      <c r="AP313" s="373"/>
      <c r="AQ313" s="373"/>
      <c r="AR313" s="373"/>
      <c r="AS313" s="373"/>
      <c r="AT313" s="373"/>
      <c r="AU313" s="373"/>
      <c r="AV313" s="373"/>
      <c r="AW313" s="373"/>
      <c r="AX313" s="373"/>
      <c r="AY313" s="373"/>
      <c r="AZ313" s="373"/>
      <c r="BA313" s="373"/>
      <c r="BB313" s="373"/>
      <c r="BC313" s="373"/>
      <c r="BD313" s="373"/>
    </row>
    <row r="314" spans="1:56" s="377" customFormat="1" x14ac:dyDescent="0.15">
      <c r="A314" s="379"/>
      <c r="B314" s="379"/>
      <c r="C314" s="379"/>
      <c r="D314" s="379"/>
      <c r="E314" s="379"/>
      <c r="F314" s="378"/>
      <c r="H314" s="375"/>
      <c r="I314" s="375"/>
      <c r="J314" s="375"/>
      <c r="K314" s="375"/>
      <c r="L314" s="375"/>
      <c r="M314" s="375"/>
      <c r="N314" s="375"/>
      <c r="O314" s="375"/>
      <c r="P314" s="374"/>
      <c r="Q314" s="374"/>
      <c r="R314" s="374"/>
      <c r="S314" s="373"/>
      <c r="T314" s="373"/>
      <c r="U314" s="373"/>
      <c r="V314" s="373"/>
      <c r="W314" s="373"/>
      <c r="X314" s="373"/>
      <c r="Y314" s="373"/>
      <c r="Z314" s="373"/>
      <c r="AA314" s="373"/>
      <c r="AB314" s="373"/>
      <c r="AC314" s="373"/>
      <c r="AD314" s="373"/>
      <c r="AE314" s="373"/>
      <c r="AF314" s="373"/>
      <c r="AG314" s="373"/>
      <c r="AH314" s="373"/>
      <c r="AI314" s="373"/>
      <c r="AJ314" s="373"/>
      <c r="AK314" s="373"/>
      <c r="AL314" s="373"/>
      <c r="AM314" s="373"/>
      <c r="AN314" s="373"/>
      <c r="AO314" s="373"/>
      <c r="AP314" s="373"/>
      <c r="AQ314" s="373"/>
      <c r="AR314" s="373"/>
      <c r="AS314" s="373"/>
      <c r="AT314" s="373"/>
      <c r="AU314" s="373"/>
      <c r="AV314" s="373"/>
      <c r="AW314" s="373"/>
      <c r="AX314" s="373"/>
      <c r="AY314" s="373"/>
      <c r="AZ314" s="373"/>
      <c r="BA314" s="373"/>
      <c r="BB314" s="373"/>
      <c r="BC314" s="373"/>
      <c r="BD314" s="373"/>
    </row>
    <row r="315" spans="1:56" s="377" customFormat="1" x14ac:dyDescent="0.15">
      <c r="A315" s="379"/>
      <c r="B315" s="379"/>
      <c r="C315" s="379"/>
      <c r="D315" s="379"/>
      <c r="E315" s="379"/>
      <c r="F315" s="378"/>
      <c r="H315" s="375"/>
      <c r="I315" s="375"/>
      <c r="J315" s="375"/>
      <c r="K315" s="375"/>
      <c r="L315" s="375"/>
      <c r="M315" s="375"/>
      <c r="N315" s="375"/>
      <c r="O315" s="375"/>
      <c r="P315" s="374"/>
      <c r="Q315" s="374"/>
      <c r="R315" s="374"/>
      <c r="S315" s="373"/>
      <c r="T315" s="373"/>
      <c r="U315" s="373"/>
      <c r="V315" s="373"/>
      <c r="W315" s="373"/>
      <c r="X315" s="373"/>
      <c r="Y315" s="373"/>
      <c r="Z315" s="373"/>
      <c r="AA315" s="373"/>
      <c r="AB315" s="373"/>
      <c r="AC315" s="373"/>
      <c r="AD315" s="373"/>
      <c r="AE315" s="373"/>
      <c r="AF315" s="373"/>
      <c r="AG315" s="373"/>
      <c r="AH315" s="373"/>
      <c r="AI315" s="373"/>
      <c r="AJ315" s="373"/>
      <c r="AK315" s="373"/>
      <c r="AL315" s="373"/>
      <c r="AM315" s="373"/>
      <c r="AN315" s="373"/>
      <c r="AO315" s="373"/>
      <c r="AP315" s="373"/>
      <c r="AQ315" s="373"/>
      <c r="AR315" s="373"/>
      <c r="AS315" s="373"/>
      <c r="AT315" s="373"/>
      <c r="AU315" s="373"/>
      <c r="AV315" s="373"/>
      <c r="AW315" s="373"/>
      <c r="AX315" s="373"/>
      <c r="AY315" s="373"/>
      <c r="AZ315" s="373"/>
      <c r="BA315" s="373"/>
      <c r="BB315" s="373"/>
      <c r="BC315" s="373"/>
      <c r="BD315" s="373"/>
    </row>
    <row r="316" spans="1:56" s="377" customFormat="1" x14ac:dyDescent="0.15">
      <c r="A316" s="379"/>
      <c r="B316" s="379"/>
      <c r="C316" s="379"/>
      <c r="D316" s="379"/>
      <c r="E316" s="379"/>
      <c r="F316" s="378"/>
      <c r="H316" s="375"/>
      <c r="I316" s="375"/>
      <c r="J316" s="375"/>
      <c r="K316" s="375"/>
      <c r="L316" s="375"/>
      <c r="M316" s="375"/>
      <c r="N316" s="375"/>
      <c r="O316" s="375"/>
      <c r="P316" s="374"/>
      <c r="Q316" s="374"/>
      <c r="R316" s="374"/>
      <c r="S316" s="373"/>
      <c r="T316" s="373"/>
      <c r="U316" s="373"/>
      <c r="V316" s="373"/>
      <c r="W316" s="373"/>
      <c r="X316" s="373"/>
      <c r="Y316" s="373"/>
      <c r="Z316" s="373"/>
      <c r="AA316" s="373"/>
      <c r="AB316" s="373"/>
      <c r="AC316" s="373"/>
      <c r="AD316" s="373"/>
      <c r="AE316" s="373"/>
      <c r="AF316" s="373"/>
      <c r="AG316" s="373"/>
      <c r="AH316" s="373"/>
      <c r="AI316" s="373"/>
      <c r="AJ316" s="373"/>
      <c r="AK316" s="373"/>
      <c r="AL316" s="373"/>
      <c r="AM316" s="373"/>
      <c r="AN316" s="373"/>
      <c r="AO316" s="373"/>
      <c r="AP316" s="373"/>
      <c r="AQ316" s="373"/>
      <c r="AR316" s="373"/>
      <c r="AS316" s="373"/>
      <c r="AT316" s="373"/>
      <c r="AU316" s="373"/>
      <c r="AV316" s="373"/>
      <c r="AW316" s="373"/>
      <c r="AX316" s="373"/>
      <c r="AY316" s="373"/>
      <c r="AZ316" s="373"/>
      <c r="BA316" s="373"/>
      <c r="BB316" s="373"/>
      <c r="BC316" s="373"/>
      <c r="BD316" s="373"/>
    </row>
    <row r="317" spans="1:56" s="377" customFormat="1" x14ac:dyDescent="0.15">
      <c r="A317" s="379"/>
      <c r="B317" s="379"/>
      <c r="C317" s="379"/>
      <c r="D317" s="379"/>
      <c r="E317" s="379"/>
      <c r="F317" s="378"/>
      <c r="H317" s="375"/>
      <c r="I317" s="375"/>
      <c r="J317" s="375"/>
      <c r="K317" s="375"/>
      <c r="L317" s="375"/>
      <c r="M317" s="375"/>
      <c r="N317" s="375"/>
      <c r="O317" s="375"/>
      <c r="P317" s="374"/>
      <c r="Q317" s="374"/>
      <c r="R317" s="374"/>
      <c r="S317" s="373"/>
      <c r="T317" s="373"/>
      <c r="U317" s="373"/>
      <c r="V317" s="373"/>
      <c r="W317" s="373"/>
      <c r="X317" s="373"/>
      <c r="Y317" s="373"/>
      <c r="Z317" s="373"/>
      <c r="AA317" s="373"/>
      <c r="AB317" s="373"/>
      <c r="AC317" s="373"/>
      <c r="AD317" s="373"/>
      <c r="AE317" s="373"/>
      <c r="AF317" s="373"/>
      <c r="AG317" s="373"/>
      <c r="AH317" s="373"/>
      <c r="AI317" s="373"/>
      <c r="AJ317" s="373"/>
      <c r="AK317" s="373"/>
      <c r="AL317" s="373"/>
      <c r="AM317" s="373"/>
      <c r="AN317" s="373"/>
      <c r="AO317" s="373"/>
      <c r="AP317" s="373"/>
      <c r="AQ317" s="373"/>
      <c r="AR317" s="373"/>
      <c r="AS317" s="373"/>
      <c r="AT317" s="373"/>
      <c r="AU317" s="373"/>
      <c r="AV317" s="373"/>
      <c r="AW317" s="373"/>
      <c r="AX317" s="373"/>
      <c r="AY317" s="373"/>
      <c r="AZ317" s="373"/>
      <c r="BA317" s="373"/>
      <c r="BB317" s="373"/>
      <c r="BC317" s="373"/>
      <c r="BD317" s="373"/>
    </row>
    <row r="318" spans="1:56" s="377" customFormat="1" x14ac:dyDescent="0.15">
      <c r="A318" s="379"/>
      <c r="B318" s="379"/>
      <c r="C318" s="379"/>
      <c r="D318" s="379"/>
      <c r="E318" s="379"/>
      <c r="F318" s="378"/>
      <c r="H318" s="375"/>
      <c r="I318" s="375"/>
      <c r="J318" s="375"/>
      <c r="K318" s="375"/>
      <c r="L318" s="375"/>
      <c r="M318" s="375"/>
      <c r="N318" s="375"/>
      <c r="O318" s="375"/>
      <c r="P318" s="374"/>
      <c r="Q318" s="374"/>
      <c r="R318" s="374"/>
      <c r="S318" s="373"/>
      <c r="T318" s="373"/>
      <c r="U318" s="373"/>
      <c r="V318" s="373"/>
      <c r="W318" s="373"/>
      <c r="X318" s="373"/>
      <c r="Y318" s="373"/>
      <c r="Z318" s="373"/>
      <c r="AA318" s="373"/>
      <c r="AB318" s="373"/>
      <c r="AC318" s="373"/>
      <c r="AD318" s="373"/>
      <c r="AE318" s="373"/>
      <c r="AF318" s="373"/>
      <c r="AG318" s="373"/>
      <c r="AH318" s="373"/>
      <c r="AI318" s="373"/>
      <c r="AJ318" s="373"/>
      <c r="AK318" s="373"/>
      <c r="AL318" s="373"/>
      <c r="AM318" s="373"/>
      <c r="AN318" s="373"/>
      <c r="AO318" s="373"/>
      <c r="AP318" s="373"/>
      <c r="AQ318" s="373"/>
      <c r="AR318" s="373"/>
      <c r="AS318" s="373"/>
      <c r="AT318" s="373"/>
      <c r="AU318" s="373"/>
      <c r="AV318" s="373"/>
      <c r="AW318" s="373"/>
      <c r="AX318" s="373"/>
      <c r="AY318" s="373"/>
      <c r="AZ318" s="373"/>
      <c r="BA318" s="373"/>
      <c r="BB318" s="373"/>
      <c r="BC318" s="373"/>
      <c r="BD318" s="373"/>
    </row>
    <row r="319" spans="1:56" s="377" customFormat="1" x14ac:dyDescent="0.15">
      <c r="A319" s="379"/>
      <c r="B319" s="379"/>
      <c r="C319" s="379"/>
      <c r="D319" s="379"/>
      <c r="E319" s="379"/>
      <c r="F319" s="378"/>
      <c r="H319" s="375"/>
      <c r="I319" s="375"/>
      <c r="J319" s="375"/>
      <c r="K319" s="375"/>
      <c r="L319" s="375"/>
      <c r="M319" s="375"/>
      <c r="N319" s="375"/>
      <c r="O319" s="375"/>
      <c r="P319" s="374"/>
      <c r="Q319" s="374"/>
      <c r="R319" s="374"/>
      <c r="S319" s="373"/>
      <c r="T319" s="373"/>
      <c r="U319" s="373"/>
      <c r="V319" s="373"/>
      <c r="W319" s="373"/>
      <c r="X319" s="373"/>
      <c r="Y319" s="373"/>
      <c r="Z319" s="373"/>
      <c r="AA319" s="373"/>
      <c r="AB319" s="373"/>
      <c r="AC319" s="373"/>
      <c r="AD319" s="373"/>
      <c r="AE319" s="373"/>
      <c r="AF319" s="373"/>
      <c r="AG319" s="373"/>
      <c r="AH319" s="373"/>
      <c r="AI319" s="373"/>
      <c r="AJ319" s="373"/>
      <c r="AK319" s="373"/>
      <c r="AL319" s="373"/>
      <c r="AM319" s="373"/>
      <c r="AN319" s="373"/>
      <c r="AO319" s="373"/>
      <c r="AP319" s="373"/>
      <c r="AQ319" s="373"/>
      <c r="AR319" s="373"/>
      <c r="AS319" s="373"/>
      <c r="AT319" s="373"/>
      <c r="AU319" s="373"/>
      <c r="AV319" s="373"/>
      <c r="AW319" s="373"/>
      <c r="AX319" s="373"/>
      <c r="AY319" s="373"/>
      <c r="AZ319" s="373"/>
      <c r="BA319" s="373"/>
      <c r="BB319" s="373"/>
      <c r="BC319" s="373"/>
      <c r="BD319" s="373"/>
    </row>
    <row r="320" spans="1:56" s="377" customFormat="1" x14ac:dyDescent="0.15">
      <c r="A320" s="379"/>
      <c r="B320" s="379"/>
      <c r="C320" s="379"/>
      <c r="D320" s="379"/>
      <c r="E320" s="379"/>
      <c r="F320" s="378"/>
      <c r="H320" s="375"/>
      <c r="I320" s="375"/>
      <c r="J320" s="375"/>
      <c r="K320" s="375"/>
      <c r="L320" s="375"/>
      <c r="M320" s="375"/>
      <c r="N320" s="375"/>
      <c r="O320" s="375"/>
      <c r="P320" s="374"/>
      <c r="Q320" s="374"/>
      <c r="R320" s="374"/>
      <c r="S320" s="373"/>
      <c r="T320" s="373"/>
      <c r="U320" s="373"/>
      <c r="V320" s="373"/>
      <c r="W320" s="373"/>
      <c r="X320" s="373"/>
      <c r="Y320" s="373"/>
      <c r="Z320" s="373"/>
      <c r="AA320" s="373"/>
      <c r="AB320" s="373"/>
      <c r="AC320" s="373"/>
      <c r="AD320" s="373"/>
      <c r="AE320" s="373"/>
      <c r="AF320" s="373"/>
      <c r="AG320" s="373"/>
      <c r="AH320" s="373"/>
      <c r="AI320" s="373"/>
      <c r="AJ320" s="373"/>
      <c r="AK320" s="373"/>
      <c r="AL320" s="373"/>
      <c r="AM320" s="373"/>
      <c r="AN320" s="373"/>
      <c r="AO320" s="373"/>
      <c r="AP320" s="373"/>
      <c r="AQ320" s="373"/>
      <c r="AR320" s="373"/>
      <c r="AS320" s="373"/>
      <c r="AT320" s="373"/>
      <c r="AU320" s="373"/>
      <c r="AV320" s="373"/>
      <c r="AW320" s="373"/>
      <c r="AX320" s="373"/>
      <c r="AY320" s="373"/>
      <c r="AZ320" s="373"/>
      <c r="BA320" s="373"/>
      <c r="BB320" s="373"/>
      <c r="BC320" s="373"/>
      <c r="BD320" s="373"/>
    </row>
    <row r="321" spans="1:56" s="377" customFormat="1" x14ac:dyDescent="0.15">
      <c r="A321" s="379"/>
      <c r="B321" s="379"/>
      <c r="C321" s="379"/>
      <c r="D321" s="379"/>
      <c r="E321" s="379"/>
      <c r="F321" s="378"/>
      <c r="H321" s="375"/>
      <c r="I321" s="375"/>
      <c r="J321" s="375"/>
      <c r="K321" s="375"/>
      <c r="L321" s="375"/>
      <c r="M321" s="375"/>
      <c r="N321" s="375"/>
      <c r="O321" s="375"/>
      <c r="P321" s="374"/>
      <c r="Q321" s="374"/>
      <c r="R321" s="374"/>
      <c r="S321" s="373"/>
      <c r="T321" s="373"/>
      <c r="U321" s="373"/>
      <c r="V321" s="373"/>
      <c r="W321" s="373"/>
      <c r="X321" s="373"/>
      <c r="Y321" s="373"/>
      <c r="Z321" s="373"/>
      <c r="AA321" s="373"/>
      <c r="AB321" s="373"/>
      <c r="AC321" s="373"/>
      <c r="AD321" s="373"/>
      <c r="AE321" s="373"/>
      <c r="AF321" s="373"/>
      <c r="AG321" s="373"/>
      <c r="AH321" s="373"/>
      <c r="AI321" s="373"/>
      <c r="AJ321" s="373"/>
      <c r="AK321" s="373"/>
      <c r="AL321" s="373"/>
      <c r="AM321" s="373"/>
      <c r="AN321" s="373"/>
      <c r="AO321" s="373"/>
      <c r="AP321" s="373"/>
      <c r="AQ321" s="373"/>
      <c r="AR321" s="373"/>
      <c r="AS321" s="373"/>
      <c r="AT321" s="373"/>
      <c r="AU321" s="373"/>
      <c r="AV321" s="373"/>
      <c r="AW321" s="373"/>
      <c r="AX321" s="373"/>
      <c r="AY321" s="373"/>
      <c r="AZ321" s="373"/>
      <c r="BA321" s="373"/>
      <c r="BB321" s="373"/>
      <c r="BC321" s="373"/>
      <c r="BD321" s="373"/>
    </row>
    <row r="322" spans="1:56" s="377" customFormat="1" x14ac:dyDescent="0.15">
      <c r="A322" s="379"/>
      <c r="B322" s="379"/>
      <c r="C322" s="379"/>
      <c r="D322" s="379"/>
      <c r="E322" s="379"/>
      <c r="F322" s="378"/>
      <c r="H322" s="375"/>
      <c r="I322" s="375"/>
      <c r="J322" s="375"/>
      <c r="K322" s="375"/>
      <c r="L322" s="375"/>
      <c r="M322" s="375"/>
      <c r="N322" s="375"/>
      <c r="O322" s="375"/>
      <c r="P322" s="374"/>
      <c r="Q322" s="374"/>
      <c r="R322" s="374"/>
      <c r="S322" s="373"/>
      <c r="T322" s="373"/>
      <c r="U322" s="373"/>
      <c r="V322" s="373"/>
      <c r="W322" s="373"/>
      <c r="X322" s="373"/>
      <c r="Y322" s="373"/>
      <c r="Z322" s="373"/>
      <c r="AA322" s="373"/>
      <c r="AB322" s="373"/>
      <c r="AC322" s="373"/>
      <c r="AD322" s="373"/>
      <c r="AE322" s="373"/>
      <c r="AF322" s="373"/>
      <c r="AG322" s="373"/>
      <c r="AH322" s="373"/>
      <c r="AI322" s="373"/>
      <c r="AJ322" s="373"/>
      <c r="AK322" s="373"/>
      <c r="AL322" s="373"/>
      <c r="AM322" s="373"/>
      <c r="AN322" s="373"/>
      <c r="AO322" s="373"/>
      <c r="AP322" s="373"/>
      <c r="AQ322" s="373"/>
      <c r="AR322" s="373"/>
      <c r="AS322" s="373"/>
      <c r="AT322" s="373"/>
      <c r="AU322" s="373"/>
      <c r="AV322" s="373"/>
      <c r="AW322" s="373"/>
      <c r="AX322" s="373"/>
      <c r="AY322" s="373"/>
      <c r="AZ322" s="373"/>
      <c r="BA322" s="373"/>
      <c r="BB322" s="373"/>
      <c r="BC322" s="373"/>
      <c r="BD322" s="373"/>
    </row>
    <row r="323" spans="1:56" s="377" customFormat="1" x14ac:dyDescent="0.15">
      <c r="A323" s="379"/>
      <c r="B323" s="379"/>
      <c r="C323" s="379"/>
      <c r="D323" s="379"/>
      <c r="E323" s="379"/>
      <c r="F323" s="378"/>
      <c r="H323" s="375"/>
      <c r="I323" s="375"/>
      <c r="J323" s="375"/>
      <c r="K323" s="375"/>
      <c r="L323" s="375"/>
      <c r="M323" s="375"/>
      <c r="N323" s="375"/>
      <c r="O323" s="375"/>
      <c r="P323" s="374"/>
      <c r="Q323" s="374"/>
      <c r="R323" s="374"/>
      <c r="S323" s="373"/>
      <c r="T323" s="373"/>
      <c r="U323" s="373"/>
      <c r="V323" s="373"/>
      <c r="W323" s="373"/>
      <c r="X323" s="373"/>
      <c r="Y323" s="373"/>
      <c r="Z323" s="373"/>
      <c r="AA323" s="373"/>
      <c r="AB323" s="373"/>
      <c r="AC323" s="373"/>
      <c r="AD323" s="373"/>
      <c r="AE323" s="373"/>
      <c r="AF323" s="373"/>
      <c r="AG323" s="373"/>
      <c r="AH323" s="373"/>
      <c r="AI323" s="373"/>
      <c r="AJ323" s="373"/>
      <c r="AK323" s="373"/>
      <c r="AL323" s="373"/>
      <c r="AM323" s="373"/>
      <c r="AN323" s="373"/>
      <c r="AO323" s="373"/>
      <c r="AP323" s="373"/>
      <c r="AQ323" s="373"/>
      <c r="AR323" s="373"/>
      <c r="AS323" s="373"/>
      <c r="AT323" s="373"/>
      <c r="AU323" s="373"/>
      <c r="AV323" s="373"/>
      <c r="AW323" s="373"/>
      <c r="AX323" s="373"/>
      <c r="AY323" s="373"/>
      <c r="AZ323" s="373"/>
      <c r="BA323" s="373"/>
      <c r="BB323" s="373"/>
      <c r="BC323" s="373"/>
      <c r="BD323" s="373"/>
    </row>
    <row r="324" spans="1:56" s="377" customFormat="1" x14ac:dyDescent="0.15">
      <c r="A324" s="379"/>
      <c r="B324" s="379"/>
      <c r="C324" s="379"/>
      <c r="D324" s="379"/>
      <c r="E324" s="379"/>
      <c r="F324" s="378"/>
      <c r="H324" s="375"/>
      <c r="I324" s="375"/>
      <c r="J324" s="375"/>
      <c r="K324" s="375"/>
      <c r="L324" s="375"/>
      <c r="M324" s="375"/>
      <c r="N324" s="375"/>
      <c r="O324" s="375"/>
      <c r="P324" s="374"/>
      <c r="Q324" s="374"/>
      <c r="R324" s="374"/>
      <c r="S324" s="373"/>
      <c r="T324" s="373"/>
      <c r="U324" s="373"/>
      <c r="V324" s="373"/>
      <c r="W324" s="373"/>
      <c r="X324" s="373"/>
      <c r="Y324" s="373"/>
      <c r="Z324" s="373"/>
      <c r="AA324" s="373"/>
      <c r="AB324" s="373"/>
      <c r="AC324" s="373"/>
      <c r="AD324" s="373"/>
      <c r="AE324" s="373"/>
      <c r="AF324" s="373"/>
      <c r="AG324" s="373"/>
      <c r="AH324" s="373"/>
      <c r="AI324" s="373"/>
      <c r="AJ324" s="373"/>
      <c r="AK324" s="373"/>
      <c r="AL324" s="373"/>
      <c r="AM324" s="373"/>
      <c r="AN324" s="373"/>
      <c r="AO324" s="373"/>
      <c r="AP324" s="373"/>
      <c r="AQ324" s="373"/>
      <c r="AR324" s="373"/>
      <c r="AS324" s="373"/>
      <c r="AT324" s="373"/>
      <c r="AU324" s="373"/>
      <c r="AV324" s="373"/>
      <c r="AW324" s="373"/>
      <c r="AX324" s="373"/>
      <c r="AY324" s="373"/>
      <c r="AZ324" s="373"/>
      <c r="BA324" s="373"/>
      <c r="BB324" s="373"/>
      <c r="BC324" s="373"/>
      <c r="BD324" s="373"/>
    </row>
    <row r="325" spans="1:56" s="377" customFormat="1" x14ac:dyDescent="0.15">
      <c r="A325" s="379"/>
      <c r="B325" s="379"/>
      <c r="C325" s="379"/>
      <c r="D325" s="379"/>
      <c r="E325" s="379"/>
      <c r="F325" s="378"/>
      <c r="H325" s="375"/>
      <c r="I325" s="375"/>
      <c r="J325" s="375"/>
      <c r="K325" s="375"/>
      <c r="L325" s="375"/>
      <c r="M325" s="375"/>
      <c r="N325" s="375"/>
      <c r="O325" s="375"/>
      <c r="P325" s="374"/>
      <c r="Q325" s="374"/>
      <c r="R325" s="374"/>
      <c r="S325" s="373"/>
      <c r="T325" s="373"/>
      <c r="U325" s="373"/>
      <c r="V325" s="373"/>
      <c r="W325" s="373"/>
      <c r="X325" s="373"/>
      <c r="Y325" s="373"/>
      <c r="Z325" s="373"/>
      <c r="AA325" s="373"/>
      <c r="AB325" s="373"/>
      <c r="AC325" s="373"/>
      <c r="AD325" s="373"/>
      <c r="AE325" s="373"/>
      <c r="AF325" s="373"/>
      <c r="AG325" s="373"/>
      <c r="AH325" s="373"/>
      <c r="AI325" s="373"/>
      <c r="AJ325" s="373"/>
      <c r="AK325" s="373"/>
      <c r="AL325" s="373"/>
      <c r="AM325" s="373"/>
      <c r="AN325" s="373"/>
      <c r="AO325" s="373"/>
      <c r="AP325" s="373"/>
      <c r="AQ325" s="373"/>
      <c r="AR325" s="373"/>
      <c r="AS325" s="373"/>
      <c r="AT325" s="373"/>
      <c r="AU325" s="373"/>
      <c r="AV325" s="373"/>
      <c r="AW325" s="373"/>
      <c r="AX325" s="373"/>
      <c r="AY325" s="373"/>
      <c r="AZ325" s="373"/>
      <c r="BA325" s="373"/>
      <c r="BB325" s="373"/>
      <c r="BC325" s="373"/>
      <c r="BD325" s="373"/>
    </row>
    <row r="326" spans="1:56" s="377" customFormat="1" x14ac:dyDescent="0.15">
      <c r="A326" s="379"/>
      <c r="B326" s="379"/>
      <c r="C326" s="379"/>
      <c r="D326" s="379"/>
      <c r="E326" s="379"/>
      <c r="F326" s="378"/>
      <c r="H326" s="375"/>
      <c r="I326" s="375"/>
      <c r="J326" s="375"/>
      <c r="K326" s="375"/>
      <c r="L326" s="375"/>
      <c r="M326" s="375"/>
      <c r="N326" s="375"/>
      <c r="O326" s="375"/>
      <c r="P326" s="374"/>
      <c r="Q326" s="374"/>
      <c r="R326" s="374"/>
      <c r="S326" s="373"/>
      <c r="T326" s="373"/>
      <c r="U326" s="373"/>
      <c r="V326" s="373"/>
      <c r="W326" s="373"/>
      <c r="X326" s="373"/>
      <c r="Y326" s="373"/>
      <c r="Z326" s="373"/>
      <c r="AA326" s="373"/>
      <c r="AB326" s="373"/>
      <c r="AC326" s="373"/>
      <c r="AD326" s="373"/>
      <c r="AE326" s="373"/>
      <c r="AF326" s="373"/>
      <c r="AG326" s="373"/>
      <c r="AH326" s="373"/>
      <c r="AI326" s="373"/>
      <c r="AJ326" s="373"/>
      <c r="AK326" s="373"/>
      <c r="AL326" s="373"/>
      <c r="AM326" s="373"/>
      <c r="AN326" s="373"/>
      <c r="AO326" s="373"/>
      <c r="AP326" s="373"/>
      <c r="AQ326" s="373"/>
      <c r="AR326" s="373"/>
      <c r="AS326" s="373"/>
      <c r="AT326" s="373"/>
      <c r="AU326" s="373"/>
      <c r="AV326" s="373"/>
      <c r="AW326" s="373"/>
      <c r="AX326" s="373"/>
      <c r="AY326" s="373"/>
      <c r="AZ326" s="373"/>
      <c r="BA326" s="373"/>
      <c r="BB326" s="373"/>
      <c r="BC326" s="373"/>
      <c r="BD326" s="373"/>
    </row>
    <row r="327" spans="1:56" s="377" customFormat="1" x14ac:dyDescent="0.15">
      <c r="A327" s="379"/>
      <c r="B327" s="379"/>
      <c r="C327" s="379"/>
      <c r="D327" s="379"/>
      <c r="E327" s="379"/>
      <c r="F327" s="378"/>
      <c r="H327" s="375"/>
      <c r="I327" s="375"/>
      <c r="J327" s="375"/>
      <c r="K327" s="375"/>
      <c r="L327" s="375"/>
      <c r="M327" s="375"/>
      <c r="N327" s="375"/>
      <c r="O327" s="375"/>
      <c r="P327" s="374"/>
      <c r="Q327" s="374"/>
      <c r="R327" s="374"/>
      <c r="S327" s="373"/>
      <c r="T327" s="373"/>
      <c r="U327" s="373"/>
      <c r="V327" s="373"/>
      <c r="W327" s="373"/>
      <c r="X327" s="373"/>
      <c r="Y327" s="373"/>
      <c r="Z327" s="373"/>
      <c r="AA327" s="373"/>
      <c r="AB327" s="373"/>
      <c r="AC327" s="373"/>
      <c r="AD327" s="373"/>
      <c r="AE327" s="373"/>
      <c r="AF327" s="373"/>
      <c r="AG327" s="373"/>
      <c r="AH327" s="373"/>
      <c r="AI327" s="373"/>
      <c r="AJ327" s="373"/>
      <c r="AK327" s="373"/>
      <c r="AL327" s="373"/>
      <c r="AM327" s="373"/>
      <c r="AN327" s="373"/>
      <c r="AO327" s="373"/>
      <c r="AP327" s="373"/>
      <c r="AQ327" s="373"/>
      <c r="AR327" s="373"/>
      <c r="AS327" s="373"/>
      <c r="AT327" s="373"/>
      <c r="AU327" s="373"/>
      <c r="AV327" s="373"/>
      <c r="AW327" s="373"/>
      <c r="AX327" s="373"/>
      <c r="AY327" s="373"/>
      <c r="AZ327" s="373"/>
      <c r="BA327" s="373"/>
      <c r="BB327" s="373"/>
      <c r="BC327" s="373"/>
      <c r="BD327" s="373"/>
    </row>
    <row r="328" spans="1:56" s="377" customFormat="1" x14ac:dyDescent="0.15">
      <c r="A328" s="379"/>
      <c r="B328" s="379"/>
      <c r="C328" s="379"/>
      <c r="D328" s="379"/>
      <c r="E328" s="379"/>
      <c r="F328" s="378"/>
      <c r="H328" s="375"/>
      <c r="I328" s="375"/>
      <c r="J328" s="375"/>
      <c r="K328" s="375"/>
      <c r="L328" s="375"/>
      <c r="M328" s="375"/>
      <c r="N328" s="375"/>
      <c r="O328" s="375"/>
      <c r="P328" s="374"/>
      <c r="Q328" s="374"/>
      <c r="R328" s="374"/>
      <c r="S328" s="373"/>
      <c r="T328" s="373"/>
      <c r="U328" s="373"/>
      <c r="V328" s="373"/>
      <c r="W328" s="373"/>
      <c r="X328" s="373"/>
      <c r="Y328" s="373"/>
      <c r="Z328" s="373"/>
      <c r="AA328" s="373"/>
      <c r="AB328" s="373"/>
      <c r="AC328" s="373"/>
      <c r="AD328" s="373"/>
      <c r="AE328" s="373"/>
      <c r="AF328" s="373"/>
      <c r="AG328" s="373"/>
      <c r="AH328" s="373"/>
      <c r="AI328" s="373"/>
      <c r="AJ328" s="373"/>
      <c r="AK328" s="373"/>
      <c r="AL328" s="373"/>
      <c r="AM328" s="373"/>
      <c r="AN328" s="373"/>
      <c r="AO328" s="373"/>
      <c r="AP328" s="373"/>
      <c r="AQ328" s="373"/>
      <c r="AR328" s="373"/>
      <c r="AS328" s="373"/>
      <c r="AT328" s="373"/>
      <c r="AU328" s="373"/>
      <c r="AV328" s="373"/>
      <c r="AW328" s="373"/>
      <c r="AX328" s="373"/>
      <c r="AY328" s="373"/>
      <c r="AZ328" s="373"/>
      <c r="BA328" s="373"/>
      <c r="BB328" s="373"/>
      <c r="BC328" s="373"/>
      <c r="BD328" s="373"/>
    </row>
    <row r="329" spans="1:56" s="377" customFormat="1" x14ac:dyDescent="0.15">
      <c r="A329" s="379"/>
      <c r="B329" s="379"/>
      <c r="C329" s="379"/>
      <c r="D329" s="379"/>
      <c r="E329" s="379"/>
      <c r="F329" s="378"/>
      <c r="H329" s="375"/>
      <c r="I329" s="375"/>
      <c r="J329" s="375"/>
      <c r="K329" s="375"/>
      <c r="L329" s="375"/>
      <c r="M329" s="375"/>
      <c r="N329" s="375"/>
      <c r="O329" s="375"/>
      <c r="P329" s="374"/>
      <c r="Q329" s="374"/>
      <c r="R329" s="374"/>
      <c r="S329" s="373"/>
      <c r="T329" s="373"/>
      <c r="U329" s="373"/>
      <c r="V329" s="373"/>
      <c r="W329" s="373"/>
      <c r="X329" s="373"/>
      <c r="Y329" s="373"/>
      <c r="Z329" s="373"/>
      <c r="AA329" s="373"/>
      <c r="AB329" s="373"/>
      <c r="AC329" s="373"/>
      <c r="AD329" s="373"/>
      <c r="AE329" s="373"/>
      <c r="AF329" s="373"/>
      <c r="AG329" s="373"/>
      <c r="AH329" s="373"/>
      <c r="AI329" s="373"/>
      <c r="AJ329" s="373"/>
      <c r="AK329" s="373"/>
      <c r="AL329" s="373"/>
      <c r="AM329" s="373"/>
      <c r="AN329" s="373"/>
      <c r="AO329" s="373"/>
      <c r="AP329" s="373"/>
      <c r="AQ329" s="373"/>
      <c r="AR329" s="373"/>
      <c r="AS329" s="373"/>
      <c r="AT329" s="373"/>
      <c r="AU329" s="373"/>
      <c r="AV329" s="373"/>
      <c r="AW329" s="373"/>
      <c r="AX329" s="373"/>
      <c r="AY329" s="373"/>
      <c r="AZ329" s="373"/>
      <c r="BA329" s="373"/>
      <c r="BB329" s="373"/>
      <c r="BC329" s="373"/>
      <c r="BD329" s="373"/>
    </row>
    <row r="330" spans="1:56" s="377" customFormat="1" x14ac:dyDescent="0.15">
      <c r="A330" s="379"/>
      <c r="B330" s="379"/>
      <c r="C330" s="379"/>
      <c r="D330" s="379"/>
      <c r="E330" s="379"/>
      <c r="F330" s="378"/>
      <c r="H330" s="375"/>
      <c r="I330" s="375"/>
      <c r="J330" s="375"/>
      <c r="K330" s="375"/>
      <c r="L330" s="375"/>
      <c r="M330" s="375"/>
      <c r="N330" s="375"/>
      <c r="O330" s="375"/>
      <c r="P330" s="374"/>
      <c r="Q330" s="374"/>
      <c r="R330" s="374"/>
      <c r="S330" s="373"/>
      <c r="T330" s="373"/>
      <c r="U330" s="373"/>
      <c r="V330" s="373"/>
      <c r="W330" s="373"/>
      <c r="X330" s="373"/>
      <c r="Y330" s="373"/>
      <c r="Z330" s="373"/>
      <c r="AA330" s="373"/>
      <c r="AB330" s="373"/>
      <c r="AC330" s="373"/>
      <c r="AD330" s="373"/>
      <c r="AE330" s="373"/>
      <c r="AF330" s="373"/>
      <c r="AG330" s="373"/>
      <c r="AH330" s="373"/>
      <c r="AI330" s="373"/>
      <c r="AJ330" s="373"/>
      <c r="AK330" s="373"/>
      <c r="AL330" s="373"/>
      <c r="AM330" s="373"/>
      <c r="AN330" s="373"/>
      <c r="AO330" s="373"/>
      <c r="AP330" s="373"/>
      <c r="AQ330" s="373"/>
      <c r="AR330" s="373"/>
      <c r="AS330" s="373"/>
      <c r="AT330" s="373"/>
      <c r="AU330" s="373"/>
      <c r="AV330" s="373"/>
      <c r="AW330" s="373"/>
      <c r="AX330" s="373"/>
      <c r="AY330" s="373"/>
      <c r="AZ330" s="373"/>
      <c r="BA330" s="373"/>
      <c r="BB330" s="373"/>
      <c r="BC330" s="373"/>
      <c r="BD330" s="373"/>
    </row>
    <row r="331" spans="1:56" s="377" customFormat="1" x14ac:dyDescent="0.15">
      <c r="A331" s="379"/>
      <c r="B331" s="379"/>
      <c r="C331" s="379"/>
      <c r="D331" s="379"/>
      <c r="E331" s="379"/>
      <c r="F331" s="378"/>
      <c r="H331" s="375"/>
      <c r="I331" s="375"/>
      <c r="J331" s="375"/>
      <c r="K331" s="375"/>
      <c r="L331" s="375"/>
      <c r="M331" s="375"/>
      <c r="N331" s="375"/>
      <c r="O331" s="375"/>
      <c r="P331" s="374"/>
      <c r="Q331" s="374"/>
      <c r="R331" s="374"/>
      <c r="S331" s="373"/>
      <c r="T331" s="373"/>
      <c r="U331" s="373"/>
      <c r="V331" s="373"/>
      <c r="W331" s="373"/>
      <c r="X331" s="373"/>
      <c r="Y331" s="373"/>
      <c r="Z331" s="373"/>
      <c r="AA331" s="373"/>
      <c r="AB331" s="373"/>
      <c r="AC331" s="373"/>
      <c r="AD331" s="373"/>
      <c r="AE331" s="373"/>
      <c r="AF331" s="373"/>
      <c r="AG331" s="373"/>
      <c r="AH331" s="373"/>
      <c r="AI331" s="373"/>
      <c r="AJ331" s="373"/>
      <c r="AK331" s="373"/>
      <c r="AL331" s="373"/>
      <c r="AM331" s="373"/>
      <c r="AN331" s="373"/>
      <c r="AO331" s="373"/>
      <c r="AP331" s="373"/>
      <c r="AQ331" s="373"/>
      <c r="AR331" s="373"/>
      <c r="AS331" s="373"/>
      <c r="AT331" s="373"/>
      <c r="AU331" s="373"/>
      <c r="AV331" s="373"/>
      <c r="AW331" s="373"/>
      <c r="AX331" s="373"/>
      <c r="AY331" s="373"/>
      <c r="AZ331" s="373"/>
      <c r="BA331" s="373"/>
      <c r="BB331" s="373"/>
      <c r="BC331" s="373"/>
      <c r="BD331" s="373"/>
    </row>
    <row r="332" spans="1:56" s="377" customFormat="1" x14ac:dyDescent="0.15">
      <c r="A332" s="379"/>
      <c r="B332" s="379"/>
      <c r="C332" s="379"/>
      <c r="D332" s="379"/>
      <c r="E332" s="379"/>
      <c r="F332" s="378"/>
      <c r="H332" s="375"/>
      <c r="I332" s="375"/>
      <c r="J332" s="375"/>
      <c r="K332" s="375"/>
      <c r="L332" s="375"/>
      <c r="M332" s="375"/>
      <c r="N332" s="375"/>
      <c r="O332" s="375"/>
      <c r="P332" s="374"/>
      <c r="Q332" s="374"/>
      <c r="R332" s="374"/>
      <c r="S332" s="373"/>
      <c r="T332" s="373"/>
      <c r="U332" s="373"/>
      <c r="V332" s="373"/>
      <c r="W332" s="373"/>
      <c r="X332" s="373"/>
      <c r="Y332" s="373"/>
      <c r="Z332" s="373"/>
      <c r="AA332" s="373"/>
      <c r="AB332" s="373"/>
      <c r="AC332" s="373"/>
      <c r="AD332" s="373"/>
      <c r="AE332" s="373"/>
      <c r="AF332" s="373"/>
      <c r="AG332" s="373"/>
      <c r="AH332" s="373"/>
      <c r="AI332" s="373"/>
      <c r="AJ332" s="373"/>
      <c r="AK332" s="373"/>
      <c r="AL332" s="373"/>
      <c r="AM332" s="373"/>
      <c r="AN332" s="373"/>
      <c r="AO332" s="373"/>
      <c r="AP332" s="373"/>
      <c r="AQ332" s="373"/>
      <c r="AR332" s="373"/>
      <c r="AS332" s="373"/>
      <c r="AT332" s="373"/>
      <c r="AU332" s="373"/>
      <c r="AV332" s="373"/>
      <c r="AW332" s="373"/>
      <c r="AX332" s="373"/>
      <c r="AY332" s="373"/>
      <c r="AZ332" s="373"/>
      <c r="BA332" s="373"/>
      <c r="BB332" s="373"/>
      <c r="BC332" s="373"/>
      <c r="BD332" s="373"/>
    </row>
    <row r="333" spans="1:56" s="377" customFormat="1" x14ac:dyDescent="0.15">
      <c r="A333" s="379"/>
      <c r="B333" s="379"/>
      <c r="C333" s="379"/>
      <c r="D333" s="379"/>
      <c r="E333" s="379"/>
      <c r="F333" s="378"/>
      <c r="H333" s="375"/>
      <c r="I333" s="375"/>
      <c r="J333" s="375"/>
      <c r="K333" s="375"/>
      <c r="L333" s="375"/>
      <c r="M333" s="375"/>
      <c r="N333" s="375"/>
      <c r="O333" s="375"/>
      <c r="P333" s="374"/>
      <c r="Q333" s="374"/>
      <c r="R333" s="374"/>
      <c r="S333" s="373"/>
      <c r="T333" s="373"/>
      <c r="U333" s="373"/>
      <c r="V333" s="373"/>
      <c r="W333" s="373"/>
      <c r="X333" s="373"/>
      <c r="Y333" s="373"/>
      <c r="Z333" s="373"/>
      <c r="AA333" s="373"/>
      <c r="AB333" s="373"/>
      <c r="AC333" s="373"/>
      <c r="AD333" s="373"/>
      <c r="AE333" s="373"/>
      <c r="AF333" s="373"/>
      <c r="AG333" s="373"/>
      <c r="AH333" s="373"/>
      <c r="AI333" s="373"/>
      <c r="AJ333" s="373"/>
      <c r="AK333" s="373"/>
      <c r="AL333" s="373"/>
      <c r="AM333" s="373"/>
      <c r="AN333" s="373"/>
      <c r="AO333" s="373"/>
      <c r="AP333" s="373"/>
      <c r="AQ333" s="373"/>
      <c r="AR333" s="373"/>
      <c r="AS333" s="373"/>
      <c r="AT333" s="373"/>
      <c r="AU333" s="373"/>
      <c r="AV333" s="373"/>
      <c r="AW333" s="373"/>
      <c r="AX333" s="373"/>
      <c r="AY333" s="373"/>
      <c r="AZ333" s="373"/>
      <c r="BA333" s="373"/>
      <c r="BB333" s="373"/>
      <c r="BC333" s="373"/>
      <c r="BD333" s="373"/>
    </row>
    <row r="334" spans="1:56" s="377" customFormat="1" x14ac:dyDescent="0.15">
      <c r="A334" s="379"/>
      <c r="B334" s="379"/>
      <c r="C334" s="379"/>
      <c r="D334" s="379"/>
      <c r="E334" s="379"/>
      <c r="F334" s="378"/>
      <c r="H334" s="375"/>
      <c r="I334" s="375"/>
      <c r="J334" s="375"/>
      <c r="K334" s="375"/>
      <c r="L334" s="375"/>
      <c r="M334" s="375"/>
      <c r="N334" s="375"/>
      <c r="O334" s="375"/>
      <c r="P334" s="374"/>
      <c r="Q334" s="374"/>
      <c r="R334" s="374"/>
      <c r="S334" s="373"/>
      <c r="T334" s="373"/>
      <c r="U334" s="373"/>
      <c r="V334" s="373"/>
      <c r="W334" s="373"/>
      <c r="X334" s="373"/>
      <c r="Y334" s="373"/>
      <c r="Z334" s="373"/>
      <c r="AA334" s="373"/>
      <c r="AB334" s="373"/>
      <c r="AC334" s="373"/>
      <c r="AD334" s="373"/>
      <c r="AE334" s="373"/>
      <c r="AF334" s="373"/>
      <c r="AG334" s="373"/>
      <c r="AH334" s="373"/>
      <c r="AI334" s="373"/>
      <c r="AJ334" s="373"/>
      <c r="AK334" s="373"/>
      <c r="AL334" s="373"/>
      <c r="AM334" s="373"/>
      <c r="AN334" s="373"/>
      <c r="AO334" s="373"/>
      <c r="AP334" s="373"/>
      <c r="AQ334" s="373"/>
      <c r="AR334" s="373"/>
      <c r="AS334" s="373"/>
      <c r="AT334" s="373"/>
      <c r="AU334" s="373"/>
      <c r="AV334" s="373"/>
      <c r="AW334" s="373"/>
      <c r="AX334" s="373"/>
      <c r="AY334" s="373"/>
      <c r="AZ334" s="373"/>
      <c r="BA334" s="373"/>
      <c r="BB334" s="373"/>
      <c r="BC334" s="373"/>
      <c r="BD334" s="373"/>
    </row>
    <row r="335" spans="1:56" s="377" customFormat="1" x14ac:dyDescent="0.15">
      <c r="A335" s="379"/>
      <c r="B335" s="379"/>
      <c r="C335" s="379"/>
      <c r="D335" s="379"/>
      <c r="E335" s="379"/>
      <c r="F335" s="378"/>
      <c r="H335" s="375"/>
      <c r="I335" s="375"/>
      <c r="J335" s="375"/>
      <c r="K335" s="375"/>
      <c r="L335" s="375"/>
      <c r="M335" s="375"/>
      <c r="N335" s="375"/>
      <c r="O335" s="375"/>
      <c r="P335" s="374"/>
      <c r="Q335" s="374"/>
      <c r="R335" s="374"/>
      <c r="S335" s="373"/>
      <c r="T335" s="373"/>
      <c r="U335" s="373"/>
      <c r="V335" s="373"/>
      <c r="W335" s="373"/>
      <c r="X335" s="373"/>
      <c r="Y335" s="373"/>
      <c r="Z335" s="373"/>
      <c r="AA335" s="373"/>
      <c r="AB335" s="373"/>
      <c r="AC335" s="373"/>
      <c r="AD335" s="373"/>
      <c r="AE335" s="373"/>
      <c r="AF335" s="373"/>
      <c r="AG335" s="373"/>
      <c r="AH335" s="373"/>
      <c r="AI335" s="373"/>
      <c r="AJ335" s="373"/>
      <c r="AK335" s="373"/>
      <c r="AL335" s="373"/>
      <c r="AM335" s="373"/>
      <c r="AN335" s="373"/>
      <c r="AO335" s="373"/>
      <c r="AP335" s="373"/>
      <c r="AQ335" s="373"/>
      <c r="AR335" s="373"/>
      <c r="AS335" s="373"/>
      <c r="AT335" s="373"/>
      <c r="AU335" s="373"/>
      <c r="AV335" s="373"/>
      <c r="AW335" s="373"/>
      <c r="AX335" s="373"/>
      <c r="AY335" s="373"/>
      <c r="AZ335" s="373"/>
      <c r="BA335" s="373"/>
      <c r="BB335" s="373"/>
      <c r="BC335" s="373"/>
      <c r="BD335" s="373"/>
    </row>
    <row r="336" spans="1:56" s="377" customFormat="1" x14ac:dyDescent="0.15">
      <c r="A336" s="379"/>
      <c r="B336" s="379"/>
      <c r="C336" s="379"/>
      <c r="D336" s="379"/>
      <c r="E336" s="379"/>
      <c r="F336" s="378"/>
      <c r="H336" s="375"/>
      <c r="I336" s="375"/>
      <c r="J336" s="375"/>
      <c r="K336" s="375"/>
      <c r="L336" s="375"/>
      <c r="M336" s="375"/>
      <c r="N336" s="375"/>
      <c r="O336" s="375"/>
      <c r="P336" s="374"/>
      <c r="Q336" s="374"/>
      <c r="R336" s="374"/>
      <c r="S336" s="373"/>
      <c r="T336" s="373"/>
      <c r="U336" s="373"/>
      <c r="V336" s="373"/>
      <c r="W336" s="373"/>
      <c r="X336" s="373"/>
      <c r="Y336" s="373"/>
      <c r="Z336" s="373"/>
      <c r="AA336" s="373"/>
      <c r="AB336" s="373"/>
      <c r="AC336" s="373"/>
      <c r="AD336" s="373"/>
      <c r="AE336" s="373"/>
      <c r="AF336" s="373"/>
      <c r="AG336" s="373"/>
      <c r="AH336" s="373"/>
      <c r="AI336" s="373"/>
      <c r="AJ336" s="373"/>
      <c r="AK336" s="373"/>
      <c r="AL336" s="373"/>
      <c r="AM336" s="373"/>
      <c r="AN336" s="373"/>
      <c r="AO336" s="373"/>
      <c r="AP336" s="373"/>
      <c r="AQ336" s="373"/>
      <c r="AR336" s="373"/>
      <c r="AS336" s="373"/>
      <c r="AT336" s="373"/>
      <c r="AU336" s="373"/>
      <c r="AV336" s="373"/>
      <c r="AW336" s="373"/>
      <c r="AX336" s="373"/>
      <c r="AY336" s="373"/>
      <c r="AZ336" s="373"/>
      <c r="BA336" s="373"/>
      <c r="BB336" s="373"/>
      <c r="BC336" s="373"/>
      <c r="BD336" s="373"/>
    </row>
    <row r="337" spans="1:56" s="377" customFormat="1" x14ac:dyDescent="0.15">
      <c r="A337" s="379"/>
      <c r="B337" s="379"/>
      <c r="C337" s="379"/>
      <c r="D337" s="379"/>
      <c r="E337" s="379"/>
      <c r="F337" s="378"/>
      <c r="H337" s="375"/>
      <c r="I337" s="375"/>
      <c r="J337" s="375"/>
      <c r="K337" s="375"/>
      <c r="L337" s="375"/>
      <c r="M337" s="375"/>
      <c r="N337" s="375"/>
      <c r="O337" s="375"/>
      <c r="P337" s="374"/>
      <c r="Q337" s="374"/>
      <c r="R337" s="374"/>
      <c r="S337" s="373"/>
      <c r="T337" s="373"/>
      <c r="U337" s="373"/>
      <c r="V337" s="373"/>
      <c r="W337" s="373"/>
      <c r="X337" s="373"/>
      <c r="Y337" s="373"/>
      <c r="Z337" s="373"/>
      <c r="AA337" s="373"/>
      <c r="AB337" s="373"/>
      <c r="AC337" s="373"/>
      <c r="AD337" s="373"/>
      <c r="AE337" s="373"/>
      <c r="AF337" s="373"/>
      <c r="AG337" s="373"/>
      <c r="AH337" s="373"/>
      <c r="AI337" s="373"/>
      <c r="AJ337" s="373"/>
      <c r="AK337" s="373"/>
      <c r="AL337" s="373"/>
      <c r="AM337" s="373"/>
      <c r="AN337" s="373"/>
      <c r="AO337" s="373"/>
      <c r="AP337" s="373"/>
      <c r="AQ337" s="373"/>
      <c r="AR337" s="373"/>
      <c r="AS337" s="373"/>
      <c r="AT337" s="373"/>
      <c r="AU337" s="373"/>
      <c r="AV337" s="373"/>
      <c r="AW337" s="373"/>
      <c r="AX337" s="373"/>
      <c r="AY337" s="373"/>
      <c r="AZ337" s="373"/>
      <c r="BA337" s="373"/>
      <c r="BB337" s="373"/>
      <c r="BC337" s="373"/>
      <c r="BD337" s="373"/>
    </row>
    <row r="338" spans="1:56" s="377" customFormat="1" x14ac:dyDescent="0.15">
      <c r="A338" s="379"/>
      <c r="B338" s="379"/>
      <c r="C338" s="379"/>
      <c r="D338" s="379"/>
      <c r="E338" s="379"/>
      <c r="F338" s="378"/>
      <c r="H338" s="375"/>
      <c r="I338" s="375"/>
      <c r="J338" s="375"/>
      <c r="K338" s="375"/>
      <c r="L338" s="375"/>
      <c r="M338" s="375"/>
      <c r="N338" s="375"/>
      <c r="O338" s="375"/>
      <c r="P338" s="374"/>
      <c r="Q338" s="374"/>
      <c r="R338" s="374"/>
      <c r="S338" s="373"/>
      <c r="T338" s="373"/>
      <c r="U338" s="373"/>
      <c r="V338" s="373"/>
      <c r="W338" s="373"/>
      <c r="X338" s="373"/>
      <c r="Y338" s="373"/>
      <c r="Z338" s="373"/>
      <c r="AA338" s="373"/>
      <c r="AB338" s="373"/>
      <c r="AC338" s="373"/>
      <c r="AD338" s="373"/>
      <c r="AE338" s="373"/>
      <c r="AF338" s="373"/>
      <c r="AG338" s="373"/>
      <c r="AH338" s="373"/>
      <c r="AI338" s="373"/>
      <c r="AJ338" s="373"/>
      <c r="AK338" s="373"/>
      <c r="AL338" s="373"/>
      <c r="AM338" s="373"/>
      <c r="AN338" s="373"/>
      <c r="AO338" s="373"/>
      <c r="AP338" s="373"/>
      <c r="AQ338" s="373"/>
      <c r="AR338" s="373"/>
      <c r="AS338" s="373"/>
      <c r="AT338" s="373"/>
      <c r="AU338" s="373"/>
      <c r="AV338" s="373"/>
      <c r="AW338" s="373"/>
      <c r="AX338" s="373"/>
      <c r="AY338" s="373"/>
      <c r="AZ338" s="373"/>
      <c r="BA338" s="373"/>
      <c r="BB338" s="373"/>
      <c r="BC338" s="373"/>
      <c r="BD338" s="373"/>
    </row>
    <row r="339" spans="1:56" s="377" customFormat="1" x14ac:dyDescent="0.15">
      <c r="A339" s="379"/>
      <c r="B339" s="379"/>
      <c r="C339" s="379"/>
      <c r="D339" s="379"/>
      <c r="E339" s="379"/>
      <c r="F339" s="378"/>
      <c r="H339" s="375"/>
      <c r="I339" s="375"/>
      <c r="J339" s="375"/>
      <c r="K339" s="375"/>
      <c r="L339" s="375"/>
      <c r="M339" s="375"/>
      <c r="N339" s="375"/>
      <c r="O339" s="375"/>
      <c r="P339" s="374"/>
      <c r="Q339" s="374"/>
      <c r="R339" s="374"/>
      <c r="S339" s="373"/>
      <c r="T339" s="373"/>
      <c r="U339" s="373"/>
      <c r="V339" s="373"/>
      <c r="W339" s="373"/>
      <c r="X339" s="373"/>
      <c r="Y339" s="373"/>
      <c r="Z339" s="373"/>
      <c r="AA339" s="373"/>
      <c r="AB339" s="373"/>
      <c r="AC339" s="373"/>
      <c r="AD339" s="373"/>
      <c r="AE339" s="373"/>
      <c r="AF339" s="373"/>
      <c r="AG339" s="373"/>
      <c r="AH339" s="373"/>
      <c r="AI339" s="373"/>
      <c r="AJ339" s="373"/>
      <c r="AK339" s="373"/>
      <c r="AL339" s="373"/>
      <c r="AM339" s="373"/>
      <c r="AN339" s="373"/>
      <c r="AO339" s="373"/>
      <c r="AP339" s="373"/>
      <c r="AQ339" s="373"/>
      <c r="AR339" s="373"/>
      <c r="AS339" s="373"/>
      <c r="AT339" s="373"/>
      <c r="AU339" s="373"/>
      <c r="AV339" s="373"/>
      <c r="AW339" s="373"/>
      <c r="AX339" s="373"/>
      <c r="AY339" s="373"/>
      <c r="AZ339" s="373"/>
      <c r="BA339" s="373"/>
      <c r="BB339" s="373"/>
      <c r="BC339" s="373"/>
      <c r="BD339" s="373"/>
    </row>
    <row r="340" spans="1:56" s="377" customFormat="1" x14ac:dyDescent="0.15">
      <c r="A340" s="379"/>
      <c r="B340" s="379"/>
      <c r="C340" s="379"/>
      <c r="D340" s="379"/>
      <c r="E340" s="379"/>
      <c r="F340" s="378"/>
      <c r="H340" s="375"/>
      <c r="I340" s="375"/>
      <c r="J340" s="375"/>
      <c r="K340" s="375"/>
      <c r="L340" s="375"/>
      <c r="M340" s="375"/>
      <c r="N340" s="375"/>
      <c r="O340" s="375"/>
      <c r="P340" s="374"/>
      <c r="Q340" s="374"/>
      <c r="R340" s="374"/>
      <c r="S340" s="373"/>
      <c r="T340" s="373"/>
      <c r="U340" s="373"/>
      <c r="V340" s="373"/>
      <c r="W340" s="373"/>
      <c r="X340" s="373"/>
      <c r="Y340" s="373"/>
      <c r="Z340" s="373"/>
      <c r="AA340" s="373"/>
      <c r="AB340" s="373"/>
      <c r="AC340" s="373"/>
      <c r="AD340" s="373"/>
      <c r="AE340" s="373"/>
      <c r="AF340" s="373"/>
      <c r="AG340" s="373"/>
      <c r="AH340" s="373"/>
      <c r="AI340" s="373"/>
      <c r="AJ340" s="373"/>
      <c r="AK340" s="373"/>
      <c r="AL340" s="373"/>
      <c r="AM340" s="373"/>
      <c r="AN340" s="373"/>
      <c r="AO340" s="373"/>
      <c r="AP340" s="373"/>
      <c r="AQ340" s="373"/>
      <c r="AR340" s="373"/>
      <c r="AS340" s="373"/>
      <c r="AT340" s="373"/>
      <c r="AU340" s="373"/>
      <c r="AV340" s="373"/>
      <c r="AW340" s="373"/>
      <c r="AX340" s="373"/>
      <c r="AY340" s="373"/>
      <c r="AZ340" s="373"/>
      <c r="BA340" s="373"/>
      <c r="BB340" s="373"/>
      <c r="BC340" s="373"/>
      <c r="BD340" s="373"/>
    </row>
    <row r="341" spans="1:56" s="377" customFormat="1" x14ac:dyDescent="0.15">
      <c r="A341" s="379"/>
      <c r="B341" s="379"/>
      <c r="C341" s="379"/>
      <c r="D341" s="379"/>
      <c r="E341" s="379"/>
      <c r="F341" s="378"/>
      <c r="H341" s="375"/>
      <c r="I341" s="375"/>
      <c r="J341" s="375"/>
      <c r="K341" s="375"/>
      <c r="L341" s="375"/>
      <c r="M341" s="375"/>
      <c r="N341" s="375"/>
      <c r="O341" s="375"/>
      <c r="P341" s="374"/>
      <c r="Q341" s="374"/>
      <c r="R341" s="374"/>
      <c r="S341" s="373"/>
      <c r="T341" s="373"/>
      <c r="U341" s="373"/>
      <c r="V341" s="373"/>
      <c r="W341" s="373"/>
      <c r="X341" s="373"/>
      <c r="Y341" s="373"/>
      <c r="Z341" s="373"/>
      <c r="AA341" s="373"/>
      <c r="AB341" s="373"/>
      <c r="AC341" s="373"/>
      <c r="AD341" s="373"/>
      <c r="AE341" s="373"/>
      <c r="AF341" s="373"/>
      <c r="AG341" s="373"/>
      <c r="AH341" s="373"/>
      <c r="AI341" s="373"/>
      <c r="AJ341" s="373"/>
      <c r="AK341" s="373"/>
      <c r="AL341" s="373"/>
      <c r="AM341" s="373"/>
      <c r="AN341" s="373"/>
      <c r="AO341" s="373"/>
      <c r="AP341" s="373"/>
      <c r="AQ341" s="373"/>
      <c r="AR341" s="373"/>
      <c r="AS341" s="373"/>
      <c r="AT341" s="373"/>
      <c r="AU341" s="373"/>
      <c r="AV341" s="373"/>
      <c r="AW341" s="373"/>
      <c r="AX341" s="373"/>
      <c r="AY341" s="373"/>
      <c r="AZ341" s="373"/>
      <c r="BA341" s="373"/>
      <c r="BB341" s="373"/>
      <c r="BC341" s="373"/>
      <c r="BD341" s="373"/>
    </row>
    <row r="342" spans="1:56" s="377" customFormat="1" x14ac:dyDescent="0.15">
      <c r="A342" s="379"/>
      <c r="B342" s="379"/>
      <c r="C342" s="379"/>
      <c r="D342" s="379"/>
      <c r="E342" s="379"/>
      <c r="F342" s="378"/>
      <c r="H342" s="375"/>
      <c r="I342" s="375"/>
      <c r="J342" s="375"/>
      <c r="K342" s="375"/>
      <c r="L342" s="375"/>
      <c r="M342" s="375"/>
      <c r="N342" s="375"/>
      <c r="O342" s="375"/>
      <c r="P342" s="374"/>
      <c r="Q342" s="374"/>
      <c r="R342" s="374"/>
      <c r="S342" s="373"/>
      <c r="T342" s="373"/>
      <c r="U342" s="373"/>
      <c r="V342" s="373"/>
      <c r="W342" s="373"/>
      <c r="X342" s="373"/>
      <c r="Y342" s="373"/>
      <c r="Z342" s="373"/>
      <c r="AA342" s="373"/>
      <c r="AB342" s="373"/>
      <c r="AC342" s="373"/>
      <c r="AD342" s="373"/>
      <c r="AE342" s="373"/>
      <c r="AF342" s="373"/>
      <c r="AG342" s="373"/>
      <c r="AH342" s="373"/>
      <c r="AI342" s="373"/>
      <c r="AJ342" s="373"/>
      <c r="AK342" s="373"/>
      <c r="AL342" s="373"/>
      <c r="AM342" s="373"/>
      <c r="AN342" s="373"/>
      <c r="AO342" s="373"/>
      <c r="AP342" s="373"/>
      <c r="AQ342" s="373"/>
      <c r="AR342" s="373"/>
      <c r="AS342" s="373"/>
      <c r="AT342" s="373"/>
      <c r="AU342" s="373"/>
      <c r="AV342" s="373"/>
      <c r="AW342" s="373"/>
      <c r="AX342" s="373"/>
      <c r="AY342" s="373"/>
      <c r="AZ342" s="373"/>
      <c r="BA342" s="373"/>
      <c r="BB342" s="373"/>
      <c r="BC342" s="373"/>
      <c r="BD342" s="373"/>
    </row>
  </sheetData>
  <sortState ref="A4:BD107">
    <sortCondition ref="A107"/>
  </sortState>
  <pageMargins left="0.7" right="0.7" top="0.75" bottom="0.75" header="0.3" footer="0.3"/>
  <pageSetup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44"/>
  <sheetViews>
    <sheetView workbookViewId="0">
      <selection activeCell="P25" sqref="P25"/>
    </sheetView>
  </sheetViews>
  <sheetFormatPr baseColWidth="10" defaultColWidth="9.1640625" defaultRowHeight="12" x14ac:dyDescent="0.15"/>
  <cols>
    <col min="1" max="1" width="19.5" style="6" customWidth="1"/>
    <col min="2" max="2" width="13.5" style="6" customWidth="1"/>
    <col min="3" max="3" width="23.33203125" style="6" customWidth="1"/>
    <col min="4" max="4" width="18.5" style="6" customWidth="1"/>
    <col min="5" max="5" width="17.1640625" style="6" customWidth="1"/>
    <col min="6" max="6" width="10.33203125" style="101" customWidth="1"/>
    <col min="7" max="7" width="10.33203125" style="102" customWidth="1"/>
    <col min="8" max="8" width="4.1640625" style="75" customWidth="1"/>
    <col min="9" max="11" width="3.5" style="75" customWidth="1"/>
    <col min="12" max="12" width="9.5" style="21" customWidth="1"/>
    <col min="13" max="13" width="9.6640625" style="21" customWidth="1"/>
    <col min="14" max="15" width="9.5" style="75" customWidth="1"/>
    <col min="16" max="16" width="9.1640625" style="6"/>
    <col min="17" max="17" width="2.6640625" style="14" customWidth="1"/>
    <col min="18" max="18" width="9.1640625" style="14"/>
    <col min="19" max="19" width="11.5" style="13" customWidth="1"/>
    <col min="20" max="20" width="9.1640625" style="13"/>
    <col min="21" max="21" width="2.6640625" style="13" customWidth="1"/>
    <col min="22" max="16384" width="9.1640625" style="13"/>
  </cols>
  <sheetData>
    <row r="1" spans="1:45" ht="12" customHeight="1" x14ac:dyDescent="0.15"/>
    <row r="2" spans="1:45" ht="12" customHeight="1" x14ac:dyDescent="0.15">
      <c r="A2" s="72"/>
      <c r="F2" s="73"/>
      <c r="G2" s="74" t="s">
        <v>436</v>
      </c>
      <c r="K2" s="76"/>
      <c r="L2" s="74" t="s">
        <v>624</v>
      </c>
      <c r="M2" s="74"/>
      <c r="N2" s="37"/>
      <c r="O2" s="7"/>
      <c r="P2" s="7"/>
      <c r="S2" s="38"/>
      <c r="AA2" s="77"/>
    </row>
    <row r="3" spans="1:45" s="84" customFormat="1" ht="44" customHeight="1" thickBot="1" x14ac:dyDescent="0.2">
      <c r="A3" s="78" t="s">
        <v>720</v>
      </c>
      <c r="B3" s="78" t="s">
        <v>710</v>
      </c>
      <c r="C3" s="78" t="s">
        <v>844</v>
      </c>
      <c r="D3" s="78" t="s">
        <v>670</v>
      </c>
      <c r="E3" s="78" t="s">
        <v>310</v>
      </c>
      <c r="F3" s="79" t="s">
        <v>845</v>
      </c>
      <c r="G3" s="80" t="s">
        <v>635</v>
      </c>
      <c r="H3" s="81" t="s">
        <v>392</v>
      </c>
      <c r="I3" s="81" t="s">
        <v>393</v>
      </c>
      <c r="J3" s="81" t="s">
        <v>394</v>
      </c>
      <c r="K3" s="81" t="s">
        <v>395</v>
      </c>
      <c r="L3" s="82" t="s">
        <v>647</v>
      </c>
      <c r="M3" s="82" t="s">
        <v>1977</v>
      </c>
      <c r="N3" s="81" t="s">
        <v>120</v>
      </c>
      <c r="O3" s="81" t="s">
        <v>1242</v>
      </c>
      <c r="P3" s="78" t="s">
        <v>669</v>
      </c>
      <c r="Q3" s="83"/>
      <c r="R3" s="83"/>
    </row>
    <row r="4" spans="1:45" s="90" customFormat="1" ht="12" customHeight="1" thickTop="1" x14ac:dyDescent="0.15">
      <c r="A4" s="70" t="s">
        <v>3461</v>
      </c>
      <c r="B4" s="51" t="s">
        <v>1034</v>
      </c>
      <c r="C4" s="51" t="s">
        <v>3274</v>
      </c>
      <c r="D4" s="51" t="s">
        <v>1187</v>
      </c>
      <c r="E4" s="51" t="s">
        <v>3307</v>
      </c>
      <c r="F4" s="85">
        <v>42081</v>
      </c>
      <c r="G4" s="86"/>
      <c r="H4" s="87"/>
      <c r="I4" s="87"/>
      <c r="J4" s="87"/>
      <c r="K4" s="87"/>
      <c r="L4" s="86"/>
      <c r="M4" s="86"/>
      <c r="N4" s="88"/>
      <c r="O4" s="89"/>
      <c r="P4" s="89"/>
      <c r="Q4" s="55"/>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13"/>
    </row>
    <row r="5" spans="1:45" s="90" customFormat="1" ht="12" customHeight="1" x14ac:dyDescent="0.15">
      <c r="A5" s="70" t="s">
        <v>4445</v>
      </c>
      <c r="B5" s="51" t="s">
        <v>3625</v>
      </c>
      <c r="C5" s="51" t="s">
        <v>3539</v>
      </c>
      <c r="D5" s="51" t="s">
        <v>3626</v>
      </c>
      <c r="E5" s="51" t="s">
        <v>3627</v>
      </c>
      <c r="F5" s="85">
        <v>42109</v>
      </c>
      <c r="G5" s="86"/>
      <c r="H5" s="87"/>
      <c r="I5" s="87"/>
      <c r="J5" s="87"/>
      <c r="K5" s="87"/>
      <c r="L5" s="86"/>
      <c r="M5" s="86"/>
      <c r="N5" s="88"/>
      <c r="O5" s="89"/>
      <c r="P5" s="89"/>
      <c r="Q5" s="55"/>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13"/>
    </row>
    <row r="6" spans="1:45" s="90" customFormat="1" ht="12" customHeight="1" x14ac:dyDescent="0.15">
      <c r="A6" s="70" t="s">
        <v>4173</v>
      </c>
      <c r="B6" s="51" t="s">
        <v>1766</v>
      </c>
      <c r="C6" s="51" t="s">
        <v>3394</v>
      </c>
      <c r="D6" s="51" t="s">
        <v>427</v>
      </c>
      <c r="E6" s="51" t="s">
        <v>3402</v>
      </c>
      <c r="F6" s="85">
        <v>42063</v>
      </c>
      <c r="G6" s="86"/>
      <c r="H6" s="348"/>
      <c r="I6" s="348"/>
      <c r="J6" s="348"/>
      <c r="K6" s="348"/>
      <c r="L6" s="86"/>
      <c r="M6" s="86"/>
      <c r="N6" s="88"/>
      <c r="O6" s="349"/>
      <c r="P6" s="349" t="s">
        <v>3963</v>
      </c>
      <c r="Q6" s="55"/>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13"/>
    </row>
    <row r="7" spans="1:45" s="90" customFormat="1" ht="12" customHeight="1" x14ac:dyDescent="0.15">
      <c r="A7" s="70" t="s">
        <v>4444</v>
      </c>
      <c r="B7" s="51" t="s">
        <v>1684</v>
      </c>
      <c r="C7" s="51" t="s">
        <v>3536</v>
      </c>
      <c r="D7" s="51" t="s">
        <v>3537</v>
      </c>
      <c r="E7" s="51" t="s">
        <v>3538</v>
      </c>
      <c r="F7" s="85">
        <v>42099</v>
      </c>
      <c r="G7" s="86"/>
      <c r="H7" s="348"/>
      <c r="I7" s="348"/>
      <c r="J7" s="348"/>
      <c r="K7" s="348"/>
      <c r="L7" s="86"/>
      <c r="M7" s="86"/>
      <c r="N7" s="88"/>
      <c r="O7" s="349"/>
      <c r="P7" s="349" t="s">
        <v>3522</v>
      </c>
      <c r="Q7" s="55"/>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13"/>
    </row>
    <row r="8" spans="1:45" s="90" customFormat="1" ht="12" customHeight="1" x14ac:dyDescent="0.15">
      <c r="A8" s="51" t="s">
        <v>3397</v>
      </c>
      <c r="B8" s="51" t="s">
        <v>492</v>
      </c>
      <c r="C8" s="51" t="s">
        <v>3398</v>
      </c>
      <c r="D8" s="51" t="s">
        <v>3399</v>
      </c>
      <c r="E8" s="51" t="s">
        <v>3401</v>
      </c>
      <c r="F8" s="85">
        <v>42083</v>
      </c>
      <c r="G8" s="86"/>
      <c r="H8" s="348"/>
      <c r="I8" s="348"/>
      <c r="J8" s="348"/>
      <c r="K8" s="348"/>
      <c r="L8" s="86"/>
      <c r="M8" s="86"/>
      <c r="N8" s="88"/>
      <c r="O8" s="349"/>
      <c r="P8" s="349"/>
      <c r="Q8" s="55"/>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13"/>
    </row>
    <row r="9" spans="1:45" s="90" customFormat="1" ht="12" customHeight="1" x14ac:dyDescent="0.15">
      <c r="A9" s="70" t="s">
        <v>3605</v>
      </c>
      <c r="B9" s="51" t="s">
        <v>1684</v>
      </c>
      <c r="C9" s="51" t="s">
        <v>3403</v>
      </c>
      <c r="D9" s="51" t="s">
        <v>3395</v>
      </c>
      <c r="E9" s="51" t="s">
        <v>3404</v>
      </c>
      <c r="F9" s="85">
        <v>42077</v>
      </c>
      <c r="G9" s="86"/>
      <c r="H9" s="348"/>
      <c r="I9" s="348"/>
      <c r="J9" s="348"/>
      <c r="K9" s="348"/>
      <c r="L9" s="86"/>
      <c r="M9" s="86"/>
      <c r="N9" s="88"/>
      <c r="O9" s="349"/>
      <c r="P9" s="349"/>
      <c r="Q9" s="55"/>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13"/>
    </row>
    <row r="10" spans="1:45" s="90" customFormat="1" ht="12" customHeight="1" x14ac:dyDescent="0.15">
      <c r="A10" s="70" t="s">
        <v>3964</v>
      </c>
      <c r="B10" s="51" t="s">
        <v>1034</v>
      </c>
      <c r="C10" s="51" t="s">
        <v>3534</v>
      </c>
      <c r="D10" s="51" t="s">
        <v>3623</v>
      </c>
      <c r="E10" s="51" t="s">
        <v>3624</v>
      </c>
      <c r="F10" s="85">
        <v>42115</v>
      </c>
      <c r="G10" s="86"/>
      <c r="H10" s="87"/>
      <c r="I10" s="87"/>
      <c r="J10" s="87"/>
      <c r="K10" s="87"/>
      <c r="L10" s="86"/>
      <c r="M10" s="86"/>
      <c r="N10" s="88"/>
      <c r="O10" s="89"/>
      <c r="P10" s="89"/>
      <c r="Q10" s="55"/>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13"/>
    </row>
    <row r="11" spans="1:45" s="90" customFormat="1" ht="12" customHeight="1" x14ac:dyDescent="0.15">
      <c r="A11" s="51" t="s">
        <v>3400</v>
      </c>
      <c r="B11" s="51" t="s">
        <v>1034</v>
      </c>
      <c r="C11" s="51" t="s">
        <v>401</v>
      </c>
      <c r="D11" s="51" t="s">
        <v>462</v>
      </c>
      <c r="E11" s="51" t="s">
        <v>1335</v>
      </c>
      <c r="F11" s="85">
        <v>42072</v>
      </c>
      <c r="G11" s="86"/>
      <c r="H11" s="87"/>
      <c r="I11" s="87"/>
      <c r="J11" s="87"/>
      <c r="K11" s="87"/>
      <c r="L11" s="86"/>
      <c r="M11" s="86"/>
      <c r="N11" s="88"/>
      <c r="O11" s="89"/>
      <c r="P11" s="89"/>
      <c r="Q11" s="55"/>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13"/>
    </row>
    <row r="12" spans="1:45" s="90" customFormat="1" ht="12" customHeight="1" x14ac:dyDescent="0.15">
      <c r="A12" s="70"/>
      <c r="B12" s="51" t="s">
        <v>29</v>
      </c>
      <c r="C12" s="51" t="s">
        <v>3529</v>
      </c>
      <c r="D12" s="51" t="s">
        <v>1181</v>
      </c>
      <c r="E12" s="51" t="s">
        <v>3621</v>
      </c>
      <c r="F12" s="85">
        <v>42148</v>
      </c>
      <c r="G12" s="86"/>
      <c r="H12" s="87"/>
      <c r="I12" s="87"/>
      <c r="J12" s="87"/>
      <c r="K12" s="87"/>
      <c r="L12" s="86"/>
      <c r="M12" s="86"/>
      <c r="N12" s="88"/>
      <c r="O12" s="89"/>
      <c r="P12" s="89"/>
      <c r="Q12" s="55"/>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13"/>
    </row>
    <row r="13" spans="1:45" s="90" customFormat="1" ht="12" customHeight="1" x14ac:dyDescent="0.15">
      <c r="A13" s="70"/>
      <c r="B13" s="51" t="s">
        <v>1400</v>
      </c>
      <c r="C13" s="51" t="s">
        <v>3532</v>
      </c>
      <c r="D13" s="51" t="s">
        <v>3622</v>
      </c>
      <c r="E13" s="51" t="s">
        <v>3621</v>
      </c>
      <c r="F13" s="85">
        <v>42100</v>
      </c>
      <c r="G13" s="86"/>
      <c r="H13" s="87"/>
      <c r="I13" s="87"/>
      <c r="J13" s="87"/>
      <c r="K13" s="87"/>
      <c r="L13" s="86"/>
      <c r="M13" s="86"/>
      <c r="N13" s="88"/>
      <c r="O13" s="89"/>
      <c r="P13" s="89"/>
      <c r="Q13" s="55"/>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13"/>
    </row>
    <row r="14" spans="1:45" s="90" customFormat="1" ht="12" customHeight="1" x14ac:dyDescent="0.15">
      <c r="A14" s="70"/>
      <c r="B14" s="51" t="s">
        <v>28</v>
      </c>
      <c r="C14" s="51" t="s">
        <v>3540</v>
      </c>
      <c r="D14" s="51" t="s">
        <v>898</v>
      </c>
      <c r="E14" s="51" t="s">
        <v>3621</v>
      </c>
      <c r="F14" s="85">
        <v>42139</v>
      </c>
      <c r="G14" s="86"/>
      <c r="H14" s="87"/>
      <c r="I14" s="87"/>
      <c r="J14" s="87"/>
      <c r="K14" s="87"/>
      <c r="L14" s="86"/>
      <c r="M14" s="86"/>
      <c r="N14" s="88"/>
      <c r="O14" s="89"/>
      <c r="P14" s="89"/>
      <c r="Q14" s="55"/>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13"/>
    </row>
    <row r="15" spans="1:45" s="90" customFormat="1" ht="12" customHeight="1" x14ac:dyDescent="0.15">
      <c r="A15" s="70"/>
      <c r="B15" s="51" t="s">
        <v>3320</v>
      </c>
      <c r="C15" s="51" t="s">
        <v>3230</v>
      </c>
      <c r="D15" s="51" t="s">
        <v>3232</v>
      </c>
      <c r="E15" s="51" t="s">
        <v>3319</v>
      </c>
      <c r="F15" s="85">
        <v>42099</v>
      </c>
      <c r="G15" s="86"/>
      <c r="H15" s="87"/>
      <c r="I15" s="87"/>
      <c r="J15" s="87"/>
      <c r="K15" s="87"/>
      <c r="L15" s="86"/>
      <c r="M15" s="86"/>
      <c r="N15" s="88"/>
      <c r="O15" s="89"/>
      <c r="P15" s="89" t="s">
        <v>3231</v>
      </c>
      <c r="Q15" s="55"/>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13"/>
    </row>
    <row r="16" spans="1:45" s="90" customFormat="1" ht="12" customHeight="1" x14ac:dyDescent="0.15">
      <c r="A16" s="51"/>
      <c r="B16" s="51" t="s">
        <v>1684</v>
      </c>
      <c r="C16" s="51" t="s">
        <v>3541</v>
      </c>
      <c r="D16" s="51" t="s">
        <v>923</v>
      </c>
      <c r="E16" s="51" t="s">
        <v>3542</v>
      </c>
      <c r="F16" s="85">
        <v>42096</v>
      </c>
      <c r="G16" s="86"/>
      <c r="H16" s="348"/>
      <c r="I16" s="348"/>
      <c r="J16" s="348"/>
      <c r="K16" s="348"/>
      <c r="L16" s="86"/>
      <c r="M16" s="86"/>
      <c r="N16" s="88"/>
      <c r="O16" s="349"/>
      <c r="P16" s="349" t="s">
        <v>3522</v>
      </c>
      <c r="Q16" s="55"/>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13"/>
    </row>
    <row r="17" spans="1:47" s="90" customFormat="1" ht="12" customHeight="1" x14ac:dyDescent="0.15">
      <c r="A17" s="51"/>
      <c r="B17" s="51" t="s">
        <v>2407</v>
      </c>
      <c r="C17" s="51" t="s">
        <v>3544</v>
      </c>
      <c r="D17" s="51" t="s">
        <v>3628</v>
      </c>
      <c r="E17" s="51" t="s">
        <v>3299</v>
      </c>
      <c r="F17" s="85">
        <v>42133</v>
      </c>
      <c r="G17" s="86"/>
      <c r="H17" s="87"/>
      <c r="I17" s="87"/>
      <c r="J17" s="87"/>
      <c r="K17" s="87"/>
      <c r="L17" s="86"/>
      <c r="M17" s="86"/>
      <c r="N17" s="88"/>
      <c r="O17" s="89"/>
      <c r="P17" s="89"/>
      <c r="Q17" s="55"/>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13"/>
    </row>
    <row r="18" spans="1:47" s="90" customFormat="1" ht="12" customHeight="1" x14ac:dyDescent="0.15">
      <c r="A18" s="70" t="s">
        <v>3462</v>
      </c>
      <c r="B18" s="70" t="s">
        <v>1034</v>
      </c>
      <c r="C18" s="70" t="s">
        <v>2050</v>
      </c>
      <c r="D18" s="70" t="s">
        <v>2091</v>
      </c>
      <c r="E18" s="70" t="s">
        <v>3306</v>
      </c>
      <c r="F18" s="91">
        <v>42082</v>
      </c>
      <c r="G18" s="92"/>
      <c r="H18" s="93"/>
      <c r="I18" s="93"/>
      <c r="J18" s="93"/>
      <c r="K18" s="93"/>
      <c r="L18" s="92"/>
      <c r="M18" s="92"/>
      <c r="N18" s="94"/>
      <c r="O18" s="95"/>
      <c r="P18" s="95"/>
      <c r="Q18" s="67"/>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13"/>
    </row>
    <row r="19" spans="1:47" s="90" customFormat="1" ht="12" customHeight="1" x14ac:dyDescent="0.15">
      <c r="A19" s="70" t="s">
        <v>3462</v>
      </c>
      <c r="B19" s="51" t="s">
        <v>1684</v>
      </c>
      <c r="C19" s="51" t="s">
        <v>3396</v>
      </c>
      <c r="D19" s="51" t="s">
        <v>815</v>
      </c>
      <c r="E19" s="51" t="s">
        <v>3405</v>
      </c>
      <c r="F19" s="85">
        <v>42113</v>
      </c>
      <c r="G19" s="86"/>
      <c r="H19" s="348"/>
      <c r="I19" s="348"/>
      <c r="J19" s="348"/>
      <c r="K19" s="348"/>
      <c r="L19" s="86"/>
      <c r="M19" s="86"/>
      <c r="N19" s="88"/>
      <c r="O19" s="349"/>
      <c r="P19" s="349"/>
      <c r="Q19" s="55"/>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13"/>
    </row>
    <row r="20" spans="1:47" s="90" customFormat="1" ht="12" customHeight="1" x14ac:dyDescent="0.15">
      <c r="A20" s="70" t="s">
        <v>3416</v>
      </c>
      <c r="B20" s="51" t="s">
        <v>1684</v>
      </c>
      <c r="C20" s="51" t="s">
        <v>1305</v>
      </c>
      <c r="D20" s="51" t="s">
        <v>1304</v>
      </c>
      <c r="E20" s="51" t="s">
        <v>3406</v>
      </c>
      <c r="F20" s="85">
        <v>42096</v>
      </c>
      <c r="G20" s="86"/>
      <c r="H20" s="348"/>
      <c r="I20" s="348"/>
      <c r="J20" s="348"/>
      <c r="K20" s="348"/>
      <c r="L20" s="86"/>
      <c r="M20" s="86"/>
      <c r="N20" s="88"/>
      <c r="O20" s="349"/>
      <c r="P20" s="349"/>
      <c r="Q20" s="55"/>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13"/>
    </row>
    <row r="21" spans="1:47" s="90" customFormat="1" ht="12" customHeight="1" x14ac:dyDescent="0.15">
      <c r="A21" s="51"/>
      <c r="B21" s="51"/>
      <c r="C21" s="51"/>
      <c r="D21" s="51"/>
      <c r="E21" s="51"/>
      <c r="F21" s="85"/>
      <c r="G21" s="86"/>
      <c r="H21" s="348"/>
      <c r="I21" s="348"/>
      <c r="J21" s="348"/>
      <c r="K21" s="348"/>
      <c r="L21" s="86"/>
      <c r="M21" s="86"/>
      <c r="N21" s="88"/>
      <c r="O21" s="349"/>
      <c r="P21" s="349"/>
      <c r="Q21" s="55"/>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13"/>
    </row>
    <row r="22" spans="1:47" s="90" customFormat="1" ht="12" customHeight="1" x14ac:dyDescent="0.15">
      <c r="A22" s="51"/>
      <c r="B22" s="51"/>
      <c r="C22" s="51"/>
      <c r="D22" s="51"/>
      <c r="E22" s="51"/>
      <c r="F22" s="85"/>
      <c r="G22" s="86"/>
      <c r="H22" s="348"/>
      <c r="I22" s="348"/>
      <c r="J22" s="348"/>
      <c r="K22" s="348"/>
      <c r="L22" s="86"/>
      <c r="M22" s="86"/>
      <c r="N22" s="88"/>
      <c r="O22" s="349"/>
      <c r="P22" s="349"/>
      <c r="Q22" s="55"/>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13"/>
    </row>
    <row r="23" spans="1:47" s="90" customFormat="1" ht="12" customHeight="1" x14ac:dyDescent="0.15">
      <c r="A23" s="130"/>
      <c r="B23" s="70"/>
      <c r="C23" s="70"/>
      <c r="D23" s="110" t="s">
        <v>5515</v>
      </c>
      <c r="E23" s="70"/>
      <c r="F23" s="91"/>
      <c r="G23" s="92"/>
      <c r="H23" s="93"/>
      <c r="I23" s="93"/>
      <c r="J23" s="93"/>
      <c r="K23" s="93"/>
      <c r="L23" s="92"/>
      <c r="M23" s="120"/>
      <c r="N23" s="120"/>
      <c r="O23" s="120"/>
      <c r="P23" s="94"/>
      <c r="Q23" s="95"/>
      <c r="R23" s="95"/>
      <c r="S23" s="67"/>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13"/>
    </row>
    <row r="24" spans="1:47" s="90" customFormat="1" ht="12" customHeight="1" x14ac:dyDescent="0.15">
      <c r="A24" s="70"/>
      <c r="B24" s="70" t="s">
        <v>1988</v>
      </c>
      <c r="C24" s="70" t="s">
        <v>3220</v>
      </c>
      <c r="D24" s="70" t="s">
        <v>3218</v>
      </c>
      <c r="E24" s="70" t="s">
        <v>3219</v>
      </c>
      <c r="F24" s="91">
        <v>42027</v>
      </c>
      <c r="G24" s="92"/>
      <c r="H24" s="93"/>
      <c r="I24" s="93"/>
      <c r="J24" s="93"/>
      <c r="K24" s="93"/>
      <c r="L24" s="92"/>
      <c r="M24" s="92"/>
      <c r="N24" s="94"/>
      <c r="O24" s="95"/>
      <c r="P24" s="95" t="s">
        <v>5516</v>
      </c>
      <c r="Q24" s="67"/>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13"/>
    </row>
    <row r="25" spans="1:47" s="90" customFormat="1" ht="12" customHeight="1" x14ac:dyDescent="0.15">
      <c r="A25" s="51"/>
      <c r="B25" s="51"/>
      <c r="C25" s="51"/>
      <c r="D25" s="51"/>
      <c r="E25" s="51"/>
      <c r="F25" s="85"/>
      <c r="G25" s="86"/>
      <c r="H25" s="348"/>
      <c r="I25" s="348"/>
      <c r="J25" s="348"/>
      <c r="K25" s="348"/>
      <c r="L25" s="86"/>
      <c r="M25" s="86"/>
      <c r="N25" s="88"/>
      <c r="O25" s="349"/>
      <c r="P25" s="349"/>
      <c r="Q25" s="55"/>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13"/>
    </row>
    <row r="26" spans="1:47" s="90" customFormat="1" ht="12" customHeight="1" x14ac:dyDescent="0.15">
      <c r="A26" s="51"/>
      <c r="B26" s="51"/>
      <c r="C26" s="51"/>
      <c r="D26" s="51"/>
      <c r="E26" s="51"/>
      <c r="F26" s="85"/>
      <c r="G26" s="86"/>
      <c r="H26" s="348"/>
      <c r="I26" s="348"/>
      <c r="J26" s="348"/>
      <c r="K26" s="348"/>
      <c r="L26" s="86"/>
      <c r="M26" s="86"/>
      <c r="N26" s="88"/>
      <c r="O26" s="349"/>
      <c r="P26" s="349"/>
      <c r="Q26" s="55"/>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13"/>
    </row>
    <row r="27" spans="1:47" s="90" customFormat="1" ht="12" customHeight="1" x14ac:dyDescent="0.15">
      <c r="A27" s="51"/>
      <c r="B27" s="51"/>
      <c r="C27" s="51"/>
      <c r="D27" s="51"/>
      <c r="E27" s="51"/>
      <c r="F27" s="85"/>
      <c r="G27" s="86"/>
      <c r="H27" s="87"/>
      <c r="I27" s="87"/>
      <c r="J27" s="87"/>
      <c r="K27" s="87"/>
      <c r="L27" s="86"/>
      <c r="M27" s="86"/>
      <c r="N27" s="88"/>
      <c r="O27" s="89"/>
      <c r="P27" s="89"/>
      <c r="Q27" s="55"/>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13"/>
    </row>
    <row r="28" spans="1:47" s="90" customFormat="1" ht="12" customHeight="1" x14ac:dyDescent="0.15">
      <c r="A28" s="51"/>
      <c r="B28" s="51"/>
      <c r="C28" s="51"/>
      <c r="D28" s="51"/>
      <c r="E28" s="51"/>
      <c r="F28" s="85"/>
      <c r="G28" s="86"/>
      <c r="H28" s="87"/>
      <c r="I28" s="87"/>
      <c r="J28" s="87"/>
      <c r="K28" s="87"/>
      <c r="L28" s="86"/>
      <c r="M28" s="86"/>
      <c r="N28" s="88"/>
      <c r="O28" s="89"/>
      <c r="P28" s="89"/>
      <c r="Q28" s="55"/>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13"/>
    </row>
    <row r="29" spans="1:47" s="90" customFormat="1" ht="12" customHeight="1" x14ac:dyDescent="0.15">
      <c r="A29" s="51"/>
      <c r="B29" s="51"/>
      <c r="C29" s="51"/>
      <c r="D29" s="51"/>
      <c r="E29" s="51"/>
      <c r="F29" s="85"/>
      <c r="G29" s="86"/>
      <c r="H29" s="87"/>
      <c r="I29" s="87"/>
      <c r="J29" s="87"/>
      <c r="K29" s="87"/>
      <c r="L29" s="86"/>
      <c r="M29" s="86"/>
      <c r="N29" s="88"/>
      <c r="O29" s="89"/>
      <c r="P29" s="89"/>
      <c r="Q29" s="55"/>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13"/>
    </row>
    <row r="30" spans="1:47" s="90" customFormat="1" ht="12" customHeight="1" x14ac:dyDescent="0.15">
      <c r="A30" s="372" t="s">
        <v>612</v>
      </c>
      <c r="B30" s="51"/>
      <c r="C30" s="51"/>
      <c r="D30" s="51"/>
      <c r="E30" s="51"/>
      <c r="F30" s="85"/>
      <c r="G30" s="86"/>
      <c r="H30" s="87"/>
      <c r="I30" s="87"/>
      <c r="J30" s="87"/>
      <c r="K30" s="87"/>
      <c r="L30" s="86"/>
      <c r="M30" s="86"/>
      <c r="N30" s="88"/>
      <c r="O30" s="89"/>
      <c r="P30" s="89"/>
      <c r="Q30" s="55"/>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13"/>
    </row>
    <row r="31" spans="1:47" s="90" customFormat="1" ht="12" customHeight="1" x14ac:dyDescent="0.15">
      <c r="A31" s="51" t="s">
        <v>3513</v>
      </c>
      <c r="B31" s="51"/>
      <c r="C31" s="51" t="s">
        <v>949</v>
      </c>
      <c r="D31" s="51" t="s">
        <v>459</v>
      </c>
      <c r="E31" s="51" t="s">
        <v>1335</v>
      </c>
      <c r="F31" s="85"/>
      <c r="G31" s="86"/>
      <c r="H31" s="87"/>
      <c r="I31" s="87"/>
      <c r="J31" s="87"/>
      <c r="K31" s="87"/>
      <c r="L31" s="86"/>
      <c r="M31" s="86"/>
      <c r="N31" s="88"/>
      <c r="O31" s="89"/>
      <c r="P31" s="89"/>
      <c r="Q31" s="55"/>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13"/>
    </row>
    <row r="32" spans="1:47" s="90" customFormat="1" ht="12" customHeight="1" x14ac:dyDescent="0.15">
      <c r="A32" s="51" t="s">
        <v>3308</v>
      </c>
      <c r="B32" s="51"/>
      <c r="C32" s="51" t="s">
        <v>2399</v>
      </c>
      <c r="D32" s="51" t="s">
        <v>2400</v>
      </c>
      <c r="E32" s="51"/>
      <c r="F32" s="85"/>
      <c r="G32" s="86"/>
      <c r="H32" s="87"/>
      <c r="I32" s="87"/>
      <c r="J32" s="87"/>
      <c r="K32" s="87"/>
      <c r="L32" s="86"/>
      <c r="M32" s="86"/>
      <c r="N32" s="88"/>
      <c r="O32" s="89"/>
      <c r="P32" s="89"/>
      <c r="Q32" s="55"/>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13"/>
    </row>
    <row r="33" spans="1:45" s="90" customFormat="1" ht="12" customHeight="1" x14ac:dyDescent="0.15">
      <c r="A33" s="51" t="s">
        <v>3513</v>
      </c>
      <c r="B33" s="51"/>
      <c r="C33" s="51" t="s">
        <v>2405</v>
      </c>
      <c r="D33" s="51" t="s">
        <v>1471</v>
      </c>
      <c r="E33" s="51"/>
      <c r="F33" s="85"/>
      <c r="G33" s="86"/>
      <c r="H33" s="87"/>
      <c r="I33" s="87"/>
      <c r="J33" s="87"/>
      <c r="K33" s="87"/>
      <c r="L33" s="86"/>
      <c r="M33" s="86"/>
      <c r="N33" s="88"/>
      <c r="O33" s="89"/>
      <c r="P33" s="89" t="s">
        <v>3090</v>
      </c>
      <c r="Q33" s="55"/>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13"/>
    </row>
    <row r="34" spans="1:45" s="90" customFormat="1" ht="12" customHeight="1" x14ac:dyDescent="0.15">
      <c r="A34" s="51" t="s">
        <v>3510</v>
      </c>
      <c r="B34" s="51"/>
      <c r="C34" s="51" t="s">
        <v>2328</v>
      </c>
      <c r="D34" s="51" t="s">
        <v>2008</v>
      </c>
      <c r="E34" s="51"/>
      <c r="F34" s="85"/>
      <c r="G34" s="86"/>
      <c r="H34" s="87"/>
      <c r="I34" s="87"/>
      <c r="J34" s="87"/>
      <c r="K34" s="87"/>
      <c r="L34" s="86"/>
      <c r="M34" s="86"/>
      <c r="N34" s="88"/>
      <c r="O34" s="89"/>
      <c r="P34" s="89"/>
      <c r="Q34" s="55"/>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13"/>
    </row>
    <row r="35" spans="1:45" s="90" customFormat="1" ht="12" customHeight="1" x14ac:dyDescent="0.15">
      <c r="A35" s="51" t="s">
        <v>3308</v>
      </c>
      <c r="B35" s="51"/>
      <c r="C35" s="51" t="s">
        <v>27</v>
      </c>
      <c r="D35" s="51"/>
      <c r="E35" s="51"/>
      <c r="F35" s="85"/>
      <c r="G35" s="86"/>
      <c r="H35" s="87"/>
      <c r="I35" s="87"/>
      <c r="J35" s="87"/>
      <c r="K35" s="87"/>
      <c r="L35" s="86"/>
      <c r="M35" s="86"/>
      <c r="N35" s="88"/>
      <c r="O35" s="89"/>
      <c r="P35" s="89"/>
      <c r="Q35" s="55"/>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13"/>
    </row>
    <row r="36" spans="1:45" s="90" customFormat="1" ht="12" customHeight="1" x14ac:dyDescent="0.15">
      <c r="A36" s="51" t="s">
        <v>3308</v>
      </c>
      <c r="B36" s="51"/>
      <c r="C36" s="51" t="s">
        <v>3530</v>
      </c>
      <c r="D36" s="51"/>
      <c r="E36" s="51"/>
      <c r="F36" s="85"/>
      <c r="G36" s="86"/>
      <c r="H36" s="87"/>
      <c r="I36" s="87"/>
      <c r="J36" s="87"/>
      <c r="K36" s="87"/>
      <c r="L36" s="86"/>
      <c r="M36" s="86"/>
      <c r="N36" s="88"/>
      <c r="O36" s="89"/>
      <c r="P36" s="89"/>
      <c r="Q36" s="55"/>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13"/>
    </row>
    <row r="37" spans="1:45" s="90" customFormat="1" ht="12" customHeight="1" x14ac:dyDescent="0.15">
      <c r="A37" s="51" t="s">
        <v>3308</v>
      </c>
      <c r="B37" s="51"/>
      <c r="C37" s="51" t="s">
        <v>3531</v>
      </c>
      <c r="D37" s="51"/>
      <c r="E37" s="51"/>
      <c r="F37" s="85"/>
      <c r="G37" s="86"/>
      <c r="H37" s="87"/>
      <c r="I37" s="87"/>
      <c r="J37" s="87"/>
      <c r="K37" s="87"/>
      <c r="L37" s="86"/>
      <c r="M37" s="86"/>
      <c r="N37" s="88"/>
      <c r="O37" s="89"/>
      <c r="P37" s="89"/>
      <c r="Q37" s="55"/>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13"/>
    </row>
    <row r="38" spans="1:45" s="90" customFormat="1" ht="12" customHeight="1" x14ac:dyDescent="0.15">
      <c r="A38" s="51" t="s">
        <v>3513</v>
      </c>
      <c r="B38" s="51"/>
      <c r="C38" s="51" t="s">
        <v>3533</v>
      </c>
      <c r="D38" s="51"/>
      <c r="E38" s="51"/>
      <c r="F38" s="85"/>
      <c r="G38" s="86"/>
      <c r="H38" s="87"/>
      <c r="I38" s="87"/>
      <c r="J38" s="87"/>
      <c r="K38" s="87"/>
      <c r="L38" s="86"/>
      <c r="M38" s="86"/>
      <c r="N38" s="88"/>
      <c r="O38" s="89"/>
      <c r="P38" s="89"/>
      <c r="Q38" s="55"/>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13"/>
    </row>
    <row r="39" spans="1:45" s="90" customFormat="1" ht="12" customHeight="1" x14ac:dyDescent="0.15">
      <c r="A39" s="51" t="s">
        <v>3513</v>
      </c>
      <c r="B39" s="51"/>
      <c r="C39" s="51" t="s">
        <v>3535</v>
      </c>
      <c r="D39" s="51"/>
      <c r="E39" s="51"/>
      <c r="F39" s="85"/>
      <c r="G39" s="86"/>
      <c r="H39" s="87"/>
      <c r="I39" s="87"/>
      <c r="J39" s="87"/>
      <c r="K39" s="87"/>
      <c r="L39" s="86"/>
      <c r="M39" s="86"/>
      <c r="N39" s="88"/>
      <c r="O39" s="89"/>
      <c r="P39" s="89"/>
      <c r="Q39" s="55"/>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13"/>
    </row>
    <row r="40" spans="1:45" s="90" customFormat="1" ht="12" customHeight="1" x14ac:dyDescent="0.15">
      <c r="A40" s="51" t="s">
        <v>3308</v>
      </c>
      <c r="B40" s="51"/>
      <c r="C40" s="51" t="s">
        <v>3543</v>
      </c>
      <c r="D40" s="51"/>
      <c r="E40" s="51"/>
      <c r="F40" s="85"/>
      <c r="G40" s="86"/>
      <c r="H40" s="87"/>
      <c r="I40" s="87"/>
      <c r="J40" s="87"/>
      <c r="K40" s="87"/>
      <c r="L40" s="86"/>
      <c r="M40" s="86"/>
      <c r="N40" s="88"/>
      <c r="O40" s="89"/>
      <c r="P40" s="89"/>
      <c r="Q40" s="55"/>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13"/>
    </row>
    <row r="41" spans="1:45" s="90" customFormat="1" ht="12" customHeight="1" x14ac:dyDescent="0.15">
      <c r="A41" s="51" t="s">
        <v>3308</v>
      </c>
      <c r="B41" s="51"/>
      <c r="C41" s="51" t="s">
        <v>2056</v>
      </c>
      <c r="D41" s="51"/>
      <c r="E41" s="51"/>
      <c r="F41" s="85"/>
      <c r="G41" s="86"/>
      <c r="H41" s="87"/>
      <c r="I41" s="87"/>
      <c r="J41" s="87"/>
      <c r="K41" s="87"/>
      <c r="L41" s="86"/>
      <c r="M41" s="86"/>
      <c r="N41" s="88"/>
      <c r="O41" s="89"/>
      <c r="P41" s="89"/>
      <c r="Q41" s="55"/>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13"/>
    </row>
    <row r="42" spans="1:45" s="90" customFormat="1" ht="12" customHeight="1" x14ac:dyDescent="0.15">
      <c r="A42" s="51" t="s">
        <v>3516</v>
      </c>
      <c r="B42" s="51"/>
      <c r="C42" s="51" t="s">
        <v>2291</v>
      </c>
      <c r="D42" s="51"/>
      <c r="E42" s="51"/>
      <c r="F42" s="85"/>
      <c r="G42" s="86"/>
      <c r="H42" s="87"/>
      <c r="I42" s="87"/>
      <c r="J42" s="87"/>
      <c r="K42" s="87"/>
      <c r="L42" s="86"/>
      <c r="M42" s="86"/>
      <c r="N42" s="88"/>
      <c r="O42" s="89"/>
      <c r="P42" s="89"/>
      <c r="Q42" s="55"/>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13"/>
    </row>
    <row r="43" spans="1:45" s="90" customFormat="1" ht="12" customHeight="1" x14ac:dyDescent="0.15">
      <c r="A43" s="51"/>
      <c r="B43" s="51"/>
      <c r="C43" s="51"/>
      <c r="D43" s="51"/>
      <c r="E43" s="51"/>
      <c r="F43" s="85"/>
      <c r="G43" s="86"/>
      <c r="H43" s="87"/>
      <c r="I43" s="87"/>
      <c r="J43" s="87"/>
      <c r="K43" s="87"/>
      <c r="L43" s="86"/>
      <c r="M43" s="86"/>
      <c r="N43" s="88"/>
      <c r="O43" s="89"/>
      <c r="P43" s="89"/>
      <c r="Q43" s="55"/>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13"/>
    </row>
    <row r="44" spans="1:45" s="90" customFormat="1" ht="12" customHeight="1" x14ac:dyDescent="0.15">
      <c r="A44" s="51"/>
      <c r="B44" s="51"/>
      <c r="C44" s="51"/>
      <c r="D44" s="51"/>
      <c r="E44" s="51"/>
      <c r="F44" s="85"/>
      <c r="G44" s="86"/>
      <c r="H44" s="87"/>
      <c r="I44" s="87"/>
      <c r="J44" s="87"/>
      <c r="K44" s="87"/>
      <c r="L44" s="86"/>
      <c r="M44" s="86"/>
      <c r="N44" s="88"/>
      <c r="O44" s="89"/>
      <c r="P44" s="89"/>
      <c r="Q44" s="55"/>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13"/>
    </row>
    <row r="45" spans="1:45" s="90" customFormat="1" ht="12" customHeight="1" x14ac:dyDescent="0.15">
      <c r="A45" s="51"/>
      <c r="B45" s="51"/>
      <c r="C45" s="51"/>
      <c r="D45" s="51"/>
      <c r="E45" s="51"/>
      <c r="F45" s="85"/>
      <c r="G45" s="86"/>
      <c r="H45" s="87"/>
      <c r="I45" s="87"/>
      <c r="J45" s="87"/>
      <c r="K45" s="87"/>
      <c r="L45" s="86"/>
      <c r="M45" s="86"/>
      <c r="N45" s="88"/>
      <c r="O45" s="89"/>
      <c r="P45" s="89"/>
      <c r="Q45" s="55"/>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13"/>
    </row>
    <row r="46" spans="1:45" s="90" customFormat="1" ht="12" customHeight="1" x14ac:dyDescent="0.15">
      <c r="A46" s="51"/>
      <c r="B46" s="51"/>
      <c r="C46" s="51"/>
      <c r="D46" s="51"/>
      <c r="E46" s="51"/>
      <c r="F46" s="85"/>
      <c r="G46" s="86"/>
      <c r="H46" s="87"/>
      <c r="I46" s="87"/>
      <c r="J46" s="87"/>
      <c r="K46" s="87"/>
      <c r="L46" s="86"/>
      <c r="M46" s="86"/>
      <c r="N46" s="88"/>
      <c r="O46" s="89"/>
      <c r="P46" s="89"/>
      <c r="Q46" s="55"/>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13"/>
    </row>
    <row r="47" spans="1:45" s="90" customFormat="1" ht="12" customHeight="1" x14ac:dyDescent="0.15">
      <c r="A47" s="51"/>
      <c r="B47" s="51"/>
      <c r="C47" s="51"/>
      <c r="D47" s="51"/>
      <c r="E47" s="51"/>
      <c r="F47" s="85"/>
      <c r="G47" s="86"/>
      <c r="H47" s="87"/>
      <c r="I47" s="87"/>
      <c r="J47" s="87"/>
      <c r="K47" s="87"/>
      <c r="L47" s="86"/>
      <c r="M47" s="86"/>
      <c r="N47" s="88"/>
      <c r="O47" s="89"/>
      <c r="P47" s="89"/>
      <c r="Q47" s="55"/>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13"/>
    </row>
    <row r="48" spans="1:45" s="90" customFormat="1" ht="12" customHeight="1" x14ac:dyDescent="0.15">
      <c r="A48" s="51"/>
      <c r="B48" s="51"/>
      <c r="C48" s="51"/>
      <c r="D48" s="51"/>
      <c r="E48" s="51"/>
      <c r="F48" s="85"/>
      <c r="G48" s="86"/>
      <c r="H48" s="87"/>
      <c r="I48" s="87"/>
      <c r="J48" s="87"/>
      <c r="K48" s="87"/>
      <c r="L48" s="86"/>
      <c r="M48" s="86"/>
      <c r="N48" s="88"/>
      <c r="O48" s="89"/>
      <c r="P48" s="89"/>
      <c r="Q48" s="55"/>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13"/>
    </row>
    <row r="49" spans="1:56" s="90" customFormat="1" ht="12" customHeight="1" x14ac:dyDescent="0.15">
      <c r="A49" s="51"/>
      <c r="B49" s="51"/>
      <c r="C49" s="51"/>
      <c r="D49" s="51"/>
      <c r="E49" s="51"/>
      <c r="F49" s="85"/>
      <c r="G49" s="86"/>
      <c r="H49" s="87"/>
      <c r="I49" s="87"/>
      <c r="J49" s="87"/>
      <c r="K49" s="87"/>
      <c r="L49" s="86"/>
      <c r="M49" s="86"/>
      <c r="N49" s="88"/>
      <c r="O49" s="89"/>
      <c r="P49" s="89"/>
      <c r="Q49" s="55"/>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13"/>
    </row>
    <row r="50" spans="1:56" s="90" customFormat="1" ht="12" customHeight="1" x14ac:dyDescent="0.15">
      <c r="A50" s="51"/>
      <c r="B50" s="51"/>
      <c r="C50" s="51"/>
      <c r="D50" s="51"/>
      <c r="E50" s="51"/>
      <c r="F50" s="85"/>
      <c r="G50" s="86"/>
      <c r="H50" s="87"/>
      <c r="I50" s="87"/>
      <c r="J50" s="87"/>
      <c r="K50" s="87"/>
      <c r="L50" s="86"/>
      <c r="M50" s="86"/>
      <c r="N50" s="88"/>
      <c r="O50" s="89"/>
      <c r="P50" s="89"/>
      <c r="Q50" s="55"/>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13"/>
    </row>
    <row r="51" spans="1:56" s="90" customFormat="1" ht="12" customHeight="1" x14ac:dyDescent="0.15">
      <c r="A51" s="51"/>
      <c r="B51" s="51"/>
      <c r="C51" s="51"/>
      <c r="D51" s="51"/>
      <c r="E51" s="51"/>
      <c r="F51" s="85"/>
      <c r="G51" s="86"/>
      <c r="H51" s="87"/>
      <c r="I51" s="87"/>
      <c r="J51" s="87"/>
      <c r="K51" s="87"/>
      <c r="L51" s="86"/>
      <c r="M51" s="86"/>
      <c r="N51" s="88"/>
      <c r="O51" s="89"/>
      <c r="P51" s="89"/>
      <c r="Q51" s="55"/>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13"/>
    </row>
    <row r="52" spans="1:56" s="90" customFormat="1" ht="12" customHeight="1" x14ac:dyDescent="0.15">
      <c r="A52" s="51"/>
      <c r="B52" s="51"/>
      <c r="C52" s="51"/>
      <c r="D52" s="51"/>
      <c r="E52" s="51"/>
      <c r="F52" s="85"/>
      <c r="G52" s="86"/>
      <c r="H52" s="87"/>
      <c r="I52" s="87"/>
      <c r="J52" s="87"/>
      <c r="K52" s="87"/>
      <c r="L52" s="86"/>
      <c r="M52" s="86"/>
      <c r="N52" s="88"/>
      <c r="O52" s="89"/>
      <c r="P52" s="89"/>
      <c r="Q52" s="55"/>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13"/>
    </row>
    <row r="53" spans="1:56" s="90" customFormat="1" ht="12" customHeight="1" x14ac:dyDescent="0.15">
      <c r="A53" s="51"/>
      <c r="B53" s="51"/>
      <c r="C53" s="51"/>
      <c r="D53" s="51"/>
      <c r="E53" s="51"/>
      <c r="F53" s="85"/>
      <c r="G53" s="86"/>
      <c r="H53" s="87"/>
      <c r="I53" s="87"/>
      <c r="J53" s="87"/>
      <c r="K53" s="87"/>
      <c r="L53" s="86"/>
      <c r="M53" s="86"/>
      <c r="N53" s="88"/>
      <c r="O53" s="89"/>
      <c r="P53" s="89"/>
      <c r="Q53" s="55"/>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13"/>
    </row>
    <row r="54" spans="1:56" s="90" customFormat="1" ht="12" customHeight="1" x14ac:dyDescent="0.15">
      <c r="A54" s="51"/>
      <c r="B54" s="51"/>
      <c r="C54" s="51"/>
      <c r="D54" s="51"/>
      <c r="E54" s="51"/>
      <c r="F54" s="85"/>
      <c r="G54" s="86"/>
      <c r="H54" s="87"/>
      <c r="I54" s="87"/>
      <c r="J54" s="87"/>
      <c r="K54" s="87"/>
      <c r="L54" s="86"/>
      <c r="M54" s="86"/>
      <c r="N54" s="88"/>
      <c r="O54" s="89"/>
      <c r="P54" s="89"/>
      <c r="Q54" s="55"/>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13"/>
    </row>
    <row r="55" spans="1:56" s="90" customFormat="1" ht="12" customHeight="1" x14ac:dyDescent="0.15">
      <c r="A55" s="51"/>
      <c r="B55" s="51"/>
      <c r="C55" s="51"/>
      <c r="D55" s="51"/>
      <c r="E55" s="51"/>
      <c r="F55" s="85"/>
      <c r="G55" s="86"/>
      <c r="H55" s="87"/>
      <c r="I55" s="87"/>
      <c r="J55" s="87"/>
      <c r="K55" s="87"/>
      <c r="L55" s="86"/>
      <c r="M55" s="86"/>
      <c r="N55" s="88"/>
      <c r="O55" s="89"/>
      <c r="P55" s="89"/>
      <c r="Q55" s="55"/>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13"/>
    </row>
    <row r="56" spans="1:56" s="90" customFormat="1" ht="12" customHeight="1" x14ac:dyDescent="0.15">
      <c r="A56" s="51"/>
      <c r="B56" s="51"/>
      <c r="C56" s="51"/>
      <c r="D56" s="51"/>
      <c r="E56" s="51"/>
      <c r="F56" s="85"/>
      <c r="G56" s="86"/>
      <c r="H56" s="87"/>
      <c r="I56" s="87"/>
      <c r="J56" s="87"/>
      <c r="K56" s="87"/>
      <c r="L56" s="86"/>
      <c r="M56" s="86"/>
      <c r="N56" s="88"/>
      <c r="O56" s="89"/>
      <c r="P56" s="89"/>
      <c r="Q56" s="55"/>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13"/>
    </row>
    <row r="57" spans="1:56" s="90" customFormat="1" ht="12" customHeight="1" x14ac:dyDescent="0.15">
      <c r="A57" s="51"/>
      <c r="B57" s="51"/>
      <c r="C57" s="51"/>
      <c r="D57" s="51"/>
      <c r="E57" s="51"/>
      <c r="F57" s="85"/>
      <c r="G57" s="86"/>
      <c r="H57" s="87"/>
      <c r="I57" s="87"/>
      <c r="J57" s="87"/>
      <c r="K57" s="87"/>
      <c r="L57" s="86"/>
      <c r="M57" s="86"/>
      <c r="N57" s="88"/>
      <c r="O57" s="89"/>
      <c r="P57" s="89"/>
      <c r="Q57" s="55"/>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13"/>
    </row>
    <row r="58" spans="1:56" s="90" customFormat="1" ht="12" customHeight="1" x14ac:dyDescent="0.15">
      <c r="A58" s="51"/>
      <c r="B58" s="51"/>
      <c r="C58" s="51"/>
      <c r="D58" s="51"/>
      <c r="E58" s="51"/>
      <c r="F58" s="85"/>
      <c r="G58" s="86"/>
      <c r="H58" s="87"/>
      <c r="I58" s="87"/>
      <c r="J58" s="87"/>
      <c r="K58" s="87"/>
      <c r="L58" s="86"/>
      <c r="M58" s="86"/>
      <c r="N58" s="88"/>
      <c r="O58" s="89"/>
      <c r="P58" s="89"/>
      <c r="Q58" s="55"/>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13"/>
    </row>
    <row r="59" spans="1:56" s="90" customFormat="1" ht="12" customHeight="1" x14ac:dyDescent="0.15">
      <c r="A59" s="51"/>
      <c r="B59" s="51"/>
      <c r="C59" s="51"/>
      <c r="D59" s="51"/>
      <c r="E59" s="51"/>
      <c r="F59" s="85"/>
      <c r="G59" s="86"/>
      <c r="H59" s="87"/>
      <c r="I59" s="87"/>
      <c r="J59" s="87"/>
      <c r="K59" s="87"/>
      <c r="L59" s="86"/>
      <c r="M59" s="86"/>
      <c r="N59" s="88"/>
      <c r="O59" s="89"/>
      <c r="P59" s="89"/>
      <c r="Q59" s="55"/>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13"/>
    </row>
    <row r="60" spans="1:56" s="90" customFormat="1" ht="12" customHeight="1" x14ac:dyDescent="0.15">
      <c r="A60" s="51"/>
      <c r="B60" s="51"/>
      <c r="C60" s="51"/>
      <c r="D60" s="51"/>
      <c r="E60" s="51"/>
      <c r="F60" s="85"/>
      <c r="G60" s="86"/>
      <c r="H60" s="87"/>
      <c r="I60" s="87"/>
      <c r="J60" s="87"/>
      <c r="K60" s="87"/>
      <c r="L60" s="86"/>
      <c r="M60" s="86"/>
      <c r="N60" s="88"/>
      <c r="O60" s="89"/>
      <c r="P60" s="89"/>
      <c r="Q60" s="55"/>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13"/>
    </row>
    <row r="61" spans="1:56" s="14" customFormat="1" x14ac:dyDescent="0.15">
      <c r="A61" s="6"/>
      <c r="B61" s="6"/>
      <c r="C61" s="6"/>
      <c r="D61" s="6"/>
      <c r="E61" s="6"/>
      <c r="F61" s="101"/>
      <c r="G61" s="102"/>
      <c r="H61" s="103"/>
      <c r="I61" s="103"/>
      <c r="J61" s="103"/>
      <c r="K61" s="103"/>
      <c r="L61" s="21"/>
      <c r="M61" s="21"/>
      <c r="N61" s="75"/>
      <c r="O61" s="75"/>
      <c r="P61" s="6"/>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row>
    <row r="62" spans="1:56" s="14" customFormat="1" x14ac:dyDescent="0.15">
      <c r="A62" s="6"/>
      <c r="B62" s="6"/>
      <c r="C62" s="6"/>
      <c r="D62" s="6"/>
      <c r="E62" s="6"/>
      <c r="F62" s="101"/>
      <c r="G62" s="102"/>
      <c r="H62" s="104"/>
      <c r="I62" s="104"/>
      <c r="J62" s="104"/>
      <c r="K62" s="104"/>
      <c r="L62" s="21"/>
      <c r="M62" s="21"/>
      <c r="N62" s="75"/>
      <c r="O62" s="75"/>
      <c r="P62" s="6"/>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row>
    <row r="63" spans="1:56" s="14" customFormat="1" x14ac:dyDescent="0.15">
      <c r="A63" s="6"/>
      <c r="B63" s="6"/>
      <c r="C63" s="6"/>
      <c r="D63" s="6"/>
      <c r="E63" s="6"/>
      <c r="F63" s="101"/>
      <c r="G63" s="102"/>
      <c r="H63" s="104"/>
      <c r="I63" s="104"/>
      <c r="J63" s="104"/>
      <c r="K63" s="104"/>
      <c r="L63" s="21"/>
      <c r="M63" s="21"/>
      <c r="N63" s="75"/>
      <c r="O63" s="75"/>
      <c r="P63" s="6"/>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row>
    <row r="64" spans="1:56" s="14" customFormat="1" x14ac:dyDescent="0.15">
      <c r="A64" s="6"/>
      <c r="B64" s="6"/>
      <c r="C64" s="6"/>
      <c r="D64" s="6"/>
      <c r="E64" s="6"/>
      <c r="F64" s="101"/>
      <c r="G64" s="102"/>
      <c r="H64" s="104"/>
      <c r="I64" s="104"/>
      <c r="J64" s="104"/>
      <c r="K64" s="104"/>
      <c r="L64" s="21"/>
      <c r="M64" s="21"/>
      <c r="N64" s="75"/>
      <c r="O64" s="75"/>
      <c r="P64" s="6"/>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row>
    <row r="65" spans="1:56" s="14" customFormat="1" x14ac:dyDescent="0.15">
      <c r="A65" s="6"/>
      <c r="B65" s="6"/>
      <c r="C65" s="6"/>
      <c r="D65" s="6"/>
      <c r="E65" s="6"/>
      <c r="F65" s="101"/>
      <c r="G65" s="102"/>
      <c r="H65" s="104"/>
      <c r="I65" s="104"/>
      <c r="J65" s="104"/>
      <c r="K65" s="104"/>
      <c r="L65" s="21"/>
      <c r="M65" s="21"/>
      <c r="N65" s="75"/>
      <c r="O65" s="75"/>
      <c r="P65" s="6"/>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row>
    <row r="66" spans="1:56" s="14" customFormat="1" x14ac:dyDescent="0.15">
      <c r="A66" s="6"/>
      <c r="B66" s="6"/>
      <c r="C66" s="6"/>
      <c r="D66" s="6"/>
      <c r="E66" s="6"/>
      <c r="F66" s="101"/>
      <c r="G66" s="102"/>
      <c r="H66" s="104"/>
      <c r="I66" s="104"/>
      <c r="J66" s="104"/>
      <c r="K66" s="104"/>
      <c r="L66" s="21"/>
      <c r="M66" s="21"/>
      <c r="N66" s="75"/>
      <c r="O66" s="75"/>
      <c r="P66" s="6"/>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row>
    <row r="67" spans="1:56" s="14" customFormat="1" x14ac:dyDescent="0.15">
      <c r="A67" s="6"/>
      <c r="B67" s="6"/>
      <c r="C67" s="6"/>
      <c r="D67" s="6"/>
      <c r="E67" s="6"/>
      <c r="F67" s="101"/>
      <c r="G67" s="102"/>
      <c r="H67" s="104"/>
      <c r="I67" s="104"/>
      <c r="J67" s="104"/>
      <c r="K67" s="104"/>
      <c r="L67" s="21"/>
      <c r="M67" s="21"/>
      <c r="N67" s="75"/>
      <c r="O67" s="75"/>
      <c r="P67" s="6"/>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row>
    <row r="68" spans="1:56" s="14" customFormat="1" x14ac:dyDescent="0.15">
      <c r="A68" s="6"/>
      <c r="B68" s="6"/>
      <c r="C68" s="6"/>
      <c r="D68" s="6"/>
      <c r="E68" s="6"/>
      <c r="F68" s="101"/>
      <c r="G68" s="102"/>
      <c r="H68" s="104"/>
      <c r="I68" s="104"/>
      <c r="J68" s="104"/>
      <c r="K68" s="104"/>
      <c r="L68" s="21"/>
      <c r="M68" s="21"/>
      <c r="N68" s="75"/>
      <c r="O68" s="75"/>
      <c r="P68" s="6"/>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row>
    <row r="69" spans="1:56" s="14" customFormat="1" x14ac:dyDescent="0.15">
      <c r="A69" s="6"/>
      <c r="B69" s="6"/>
      <c r="C69" s="6"/>
      <c r="D69" s="6"/>
      <c r="E69" s="6"/>
      <c r="F69" s="101"/>
      <c r="G69" s="102"/>
      <c r="H69" s="103"/>
      <c r="I69" s="103"/>
      <c r="J69" s="103"/>
      <c r="K69" s="103"/>
      <c r="L69" s="21"/>
      <c r="M69" s="21"/>
      <c r="N69" s="75"/>
      <c r="O69" s="75"/>
      <c r="P69" s="75"/>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row>
    <row r="70" spans="1:56" s="14" customFormat="1" x14ac:dyDescent="0.15">
      <c r="A70" s="6"/>
      <c r="B70" s="6"/>
      <c r="C70" s="6"/>
      <c r="D70" s="6"/>
      <c r="E70" s="6"/>
      <c r="F70" s="101"/>
      <c r="G70" s="102"/>
      <c r="H70" s="103"/>
      <c r="I70" s="103"/>
      <c r="J70" s="103"/>
      <c r="K70" s="103"/>
      <c r="L70" s="21"/>
      <c r="M70" s="21"/>
      <c r="N70" s="75"/>
      <c r="O70" s="75"/>
      <c r="P70" s="6"/>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row>
    <row r="71" spans="1:56" s="14" customFormat="1" x14ac:dyDescent="0.15">
      <c r="A71" s="6"/>
      <c r="B71" s="6"/>
      <c r="C71" s="6"/>
      <c r="D71" s="6"/>
      <c r="E71" s="6"/>
      <c r="F71" s="101"/>
      <c r="G71" s="102"/>
      <c r="H71" s="103"/>
      <c r="I71" s="103"/>
      <c r="J71" s="103"/>
      <c r="K71" s="103"/>
      <c r="L71" s="21"/>
      <c r="M71" s="21"/>
      <c r="N71" s="75"/>
      <c r="O71" s="75"/>
      <c r="P71" s="6"/>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row>
    <row r="72" spans="1:56" s="14" customFormat="1" x14ac:dyDescent="0.15">
      <c r="A72" s="6"/>
      <c r="B72" s="6"/>
      <c r="C72" s="6"/>
      <c r="D72" s="6"/>
      <c r="E72" s="6"/>
      <c r="F72" s="101"/>
      <c r="G72" s="102"/>
      <c r="H72" s="6"/>
      <c r="I72" s="6"/>
      <c r="J72" s="6"/>
      <c r="K72" s="6"/>
      <c r="L72" s="21"/>
      <c r="M72" s="21"/>
      <c r="N72" s="75"/>
      <c r="O72" s="75"/>
      <c r="P72" s="6"/>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row>
    <row r="73" spans="1:56" s="14" customFormat="1" x14ac:dyDescent="0.15">
      <c r="A73" s="6"/>
      <c r="B73" s="6"/>
      <c r="C73" s="6"/>
      <c r="D73" s="6"/>
      <c r="E73" s="6"/>
      <c r="F73" s="101"/>
      <c r="G73" s="102"/>
      <c r="H73" s="6"/>
      <c r="I73" s="6"/>
      <c r="J73" s="6"/>
      <c r="K73" s="6"/>
      <c r="L73" s="21"/>
      <c r="M73" s="21"/>
      <c r="N73" s="75"/>
      <c r="O73" s="75"/>
      <c r="P73" s="6"/>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row>
    <row r="74" spans="1:56" s="14" customFormat="1" x14ac:dyDescent="0.15">
      <c r="A74" s="6"/>
      <c r="B74" s="6"/>
      <c r="C74" s="6"/>
      <c r="D74" s="6"/>
      <c r="E74" s="6"/>
      <c r="F74" s="101"/>
      <c r="G74" s="102"/>
      <c r="H74" s="6"/>
      <c r="I74" s="6"/>
      <c r="J74" s="6"/>
      <c r="K74" s="6"/>
      <c r="L74" s="21"/>
      <c r="M74" s="21"/>
      <c r="N74" s="75"/>
      <c r="O74" s="75"/>
      <c r="P74" s="6"/>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row>
    <row r="75" spans="1:56" s="14" customFormat="1" x14ac:dyDescent="0.15">
      <c r="A75" s="6"/>
      <c r="B75" s="6"/>
      <c r="C75" s="6"/>
      <c r="D75" s="6"/>
      <c r="E75" s="6"/>
      <c r="F75" s="101"/>
      <c r="G75" s="102"/>
      <c r="H75" s="6"/>
      <c r="I75" s="6"/>
      <c r="J75" s="6"/>
      <c r="K75" s="6"/>
      <c r="L75" s="21"/>
      <c r="M75" s="21"/>
      <c r="N75" s="75"/>
      <c r="O75" s="75"/>
      <c r="P75" s="6"/>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row>
    <row r="76" spans="1:56" s="14" customFormat="1" x14ac:dyDescent="0.15">
      <c r="A76" s="6"/>
      <c r="B76" s="6"/>
      <c r="C76" s="6"/>
      <c r="D76" s="6"/>
      <c r="E76" s="6"/>
      <c r="F76" s="101"/>
      <c r="G76" s="102"/>
      <c r="H76" s="6"/>
      <c r="I76" s="6"/>
      <c r="J76" s="6"/>
      <c r="K76" s="6"/>
      <c r="L76" s="21"/>
      <c r="M76" s="21"/>
      <c r="N76" s="75"/>
      <c r="O76" s="75"/>
      <c r="P76" s="6"/>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row>
    <row r="77" spans="1:56" s="14" customFormat="1" x14ac:dyDescent="0.15">
      <c r="A77" s="6"/>
      <c r="B77" s="6"/>
      <c r="C77" s="6"/>
      <c r="D77" s="6"/>
      <c r="E77" s="6"/>
      <c r="F77" s="101"/>
      <c r="G77" s="102"/>
      <c r="H77" s="6"/>
      <c r="I77" s="6"/>
      <c r="J77" s="6"/>
      <c r="K77" s="6"/>
      <c r="L77" s="21"/>
      <c r="M77" s="21"/>
      <c r="N77" s="75"/>
      <c r="O77" s="75"/>
      <c r="P77" s="6"/>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row>
    <row r="78" spans="1:56" x14ac:dyDescent="0.15">
      <c r="F78" s="105"/>
      <c r="G78" s="106"/>
      <c r="H78" s="6"/>
      <c r="I78" s="6"/>
      <c r="J78" s="6"/>
      <c r="K78" s="6"/>
    </row>
    <row r="79" spans="1:56" x14ac:dyDescent="0.15">
      <c r="H79" s="6"/>
      <c r="I79" s="6"/>
      <c r="J79" s="6"/>
      <c r="K79" s="6"/>
    </row>
    <row r="80" spans="1:56" x14ac:dyDescent="0.15">
      <c r="H80" s="6"/>
      <c r="I80" s="6"/>
      <c r="J80" s="6"/>
      <c r="K80" s="6"/>
    </row>
    <row r="81" spans="1:56" x14ac:dyDescent="0.15">
      <c r="H81" s="6"/>
      <c r="I81" s="6"/>
      <c r="J81" s="6"/>
      <c r="K81" s="6"/>
    </row>
    <row r="85" spans="1:56" x14ac:dyDescent="0.15">
      <c r="F85" s="107"/>
      <c r="G85" s="108"/>
    </row>
    <row r="87" spans="1:56" x14ac:dyDescent="0.15">
      <c r="P87" s="75"/>
    </row>
    <row r="91" spans="1:56" x14ac:dyDescent="0.15">
      <c r="F91" s="109"/>
      <c r="G91" s="34"/>
    </row>
    <row r="92" spans="1:56" x14ac:dyDescent="0.15">
      <c r="F92" s="109"/>
      <c r="G92" s="34"/>
    </row>
    <row r="93" spans="1:56" s="112" customFormat="1" x14ac:dyDescent="0.15">
      <c r="A93" s="110" t="s">
        <v>612</v>
      </c>
      <c r="B93" s="110"/>
      <c r="C93" s="110"/>
      <c r="D93" s="110"/>
      <c r="E93" s="110"/>
      <c r="F93" s="109"/>
      <c r="G93" s="34"/>
      <c r="H93" s="75"/>
      <c r="I93" s="75"/>
      <c r="J93" s="75"/>
      <c r="K93" s="75"/>
      <c r="L93" s="21"/>
      <c r="M93" s="21"/>
      <c r="N93" s="75"/>
      <c r="O93" s="75"/>
      <c r="P93" s="110"/>
      <c r="Q93" s="111"/>
      <c r="R93" s="111"/>
    </row>
    <row r="94" spans="1:56" s="21" customFormat="1" x14ac:dyDescent="0.15">
      <c r="A94" s="6"/>
      <c r="B94" s="6"/>
      <c r="C94" s="6"/>
      <c r="D94" s="6"/>
      <c r="E94" s="6"/>
      <c r="F94" s="109"/>
      <c r="G94" s="34"/>
      <c r="H94" s="75"/>
      <c r="I94" s="75"/>
      <c r="J94" s="75"/>
      <c r="K94" s="75"/>
      <c r="N94" s="75"/>
      <c r="O94" s="75"/>
      <c r="P94" s="6"/>
      <c r="Q94" s="14"/>
      <c r="R94" s="14"/>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row>
    <row r="95" spans="1:56" s="21" customFormat="1" x14ac:dyDescent="0.15">
      <c r="A95" s="113"/>
      <c r="B95" s="6"/>
      <c r="C95" s="6"/>
      <c r="D95" s="6"/>
      <c r="E95" s="6"/>
      <c r="F95" s="109"/>
      <c r="G95" s="34"/>
      <c r="H95" s="75"/>
      <c r="I95" s="75"/>
      <c r="J95" s="75"/>
      <c r="K95" s="75"/>
      <c r="N95" s="75"/>
      <c r="O95" s="75"/>
      <c r="P95" s="6"/>
      <c r="Q95" s="14"/>
      <c r="R95" s="14"/>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row>
    <row r="96" spans="1:56" s="21" customFormat="1" x14ac:dyDescent="0.15">
      <c r="A96" s="113"/>
      <c r="B96" s="6"/>
      <c r="C96" s="6"/>
      <c r="D96" s="6"/>
      <c r="E96" s="6"/>
      <c r="F96" s="109"/>
      <c r="G96" s="34"/>
      <c r="H96" s="75"/>
      <c r="I96" s="75"/>
      <c r="J96" s="75"/>
      <c r="K96" s="75"/>
      <c r="N96" s="75"/>
      <c r="O96" s="75"/>
      <c r="P96" s="6"/>
      <c r="Q96" s="14"/>
      <c r="R96" s="14"/>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row>
    <row r="97" spans="1:56" s="21" customFormat="1" x14ac:dyDescent="0.15">
      <c r="A97" s="113"/>
      <c r="B97" s="6"/>
      <c r="C97" s="6"/>
      <c r="D97" s="6"/>
      <c r="E97" s="6"/>
      <c r="F97" s="101"/>
      <c r="G97" s="102"/>
      <c r="H97" s="75"/>
      <c r="I97" s="75"/>
      <c r="J97" s="75"/>
      <c r="K97" s="75"/>
      <c r="N97" s="75"/>
      <c r="O97" s="75"/>
      <c r="P97" s="6"/>
      <c r="Q97" s="14"/>
      <c r="R97" s="14"/>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row>
    <row r="98" spans="1:56" s="21" customFormat="1" x14ac:dyDescent="0.15">
      <c r="A98" s="113"/>
      <c r="B98" s="6"/>
      <c r="C98" s="6"/>
      <c r="D98" s="6"/>
      <c r="E98" s="6"/>
      <c r="F98" s="101"/>
      <c r="G98" s="102"/>
      <c r="H98" s="75"/>
      <c r="I98" s="75"/>
      <c r="J98" s="75"/>
      <c r="K98" s="75"/>
      <c r="N98" s="75"/>
      <c r="O98" s="75"/>
      <c r="P98" s="6"/>
      <c r="Q98" s="14"/>
      <c r="R98" s="14"/>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row>
    <row r="99" spans="1:56" s="21" customFormat="1" x14ac:dyDescent="0.15">
      <c r="A99" s="113"/>
      <c r="B99" s="6"/>
      <c r="C99" s="6"/>
      <c r="D99" s="6"/>
      <c r="E99" s="6"/>
      <c r="F99" s="101"/>
      <c r="G99" s="102"/>
      <c r="H99" s="75"/>
      <c r="I99" s="75"/>
      <c r="J99" s="75"/>
      <c r="K99" s="75"/>
      <c r="N99" s="75"/>
      <c r="O99" s="75"/>
      <c r="P99" s="6"/>
      <c r="Q99" s="14"/>
      <c r="R99" s="14"/>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row>
    <row r="100" spans="1:56" s="21" customFormat="1" x14ac:dyDescent="0.15">
      <c r="A100" s="113"/>
      <c r="B100" s="6"/>
      <c r="C100" s="6"/>
      <c r="D100" s="6"/>
      <c r="E100" s="6"/>
      <c r="F100" s="101"/>
      <c r="G100" s="102"/>
      <c r="H100" s="75"/>
      <c r="I100" s="75"/>
      <c r="J100" s="75"/>
      <c r="K100" s="75"/>
      <c r="N100" s="75"/>
      <c r="O100" s="75"/>
      <c r="P100" s="6"/>
      <c r="Q100" s="14"/>
      <c r="R100" s="14"/>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row>
    <row r="101" spans="1:56" s="21" customFormat="1" x14ac:dyDescent="0.15">
      <c r="A101" s="113"/>
      <c r="B101" s="6"/>
      <c r="C101" s="6"/>
      <c r="D101" s="6"/>
      <c r="E101" s="6"/>
      <c r="F101" s="101"/>
      <c r="G101" s="102"/>
      <c r="H101" s="75"/>
      <c r="I101" s="75"/>
      <c r="J101" s="75"/>
      <c r="K101" s="75"/>
      <c r="N101" s="75"/>
      <c r="O101" s="75"/>
      <c r="P101" s="6"/>
      <c r="Q101" s="14"/>
      <c r="R101" s="14"/>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row>
    <row r="102" spans="1:56" s="21" customFormat="1" x14ac:dyDescent="0.15">
      <c r="A102" s="113"/>
      <c r="B102" s="6"/>
      <c r="C102" s="6"/>
      <c r="D102" s="6"/>
      <c r="E102" s="6"/>
      <c r="F102" s="101"/>
      <c r="G102" s="102"/>
      <c r="H102" s="75"/>
      <c r="I102" s="75"/>
      <c r="J102" s="75"/>
      <c r="K102" s="75"/>
      <c r="N102" s="75"/>
      <c r="O102" s="75"/>
      <c r="P102" s="6"/>
      <c r="Q102" s="14"/>
      <c r="R102" s="14"/>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row>
    <row r="103" spans="1:56" s="21" customFormat="1" x14ac:dyDescent="0.15">
      <c r="A103" s="113"/>
      <c r="B103" s="6"/>
      <c r="C103" s="6"/>
      <c r="D103" s="6"/>
      <c r="E103" s="6"/>
      <c r="F103" s="101"/>
      <c r="G103" s="102"/>
      <c r="H103" s="75"/>
      <c r="I103" s="75"/>
      <c r="J103" s="75"/>
      <c r="K103" s="75"/>
      <c r="N103" s="75"/>
      <c r="O103" s="75"/>
      <c r="P103" s="6"/>
      <c r="Q103" s="14"/>
      <c r="R103" s="14"/>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row>
    <row r="104" spans="1:56" s="21" customFormat="1" x14ac:dyDescent="0.15">
      <c r="A104" s="113"/>
      <c r="B104" s="6"/>
      <c r="C104" s="6"/>
      <c r="D104" s="6"/>
      <c r="E104" s="6"/>
      <c r="F104" s="101"/>
      <c r="G104" s="102"/>
      <c r="H104" s="75"/>
      <c r="I104" s="75"/>
      <c r="J104" s="75"/>
      <c r="K104" s="75"/>
      <c r="N104" s="75"/>
      <c r="O104" s="75"/>
      <c r="P104" s="6"/>
      <c r="Q104" s="14"/>
      <c r="R104" s="14"/>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row>
    <row r="105" spans="1:56" s="21" customFormat="1" x14ac:dyDescent="0.15">
      <c r="A105" s="113"/>
      <c r="B105" s="6"/>
      <c r="C105" s="6"/>
      <c r="D105" s="6"/>
      <c r="E105" s="6"/>
      <c r="F105" s="101"/>
      <c r="G105" s="102"/>
      <c r="H105" s="75"/>
      <c r="I105" s="75"/>
      <c r="J105" s="75"/>
      <c r="K105" s="75"/>
      <c r="N105" s="75"/>
      <c r="O105" s="75"/>
      <c r="P105" s="6"/>
      <c r="Q105" s="14"/>
      <c r="R105" s="14"/>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row>
    <row r="106" spans="1:56" s="21" customFormat="1" x14ac:dyDescent="0.15">
      <c r="A106" s="113"/>
      <c r="B106" s="6"/>
      <c r="C106" s="6"/>
      <c r="D106" s="6"/>
      <c r="E106" s="6"/>
      <c r="F106" s="101"/>
      <c r="G106" s="102"/>
      <c r="H106" s="75"/>
      <c r="I106" s="75"/>
      <c r="J106" s="75"/>
      <c r="K106" s="75"/>
      <c r="N106" s="75"/>
      <c r="O106" s="75"/>
      <c r="P106" s="6"/>
      <c r="Q106" s="14"/>
      <c r="R106" s="14"/>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row>
    <row r="107" spans="1:56" s="21" customFormat="1" x14ac:dyDescent="0.15">
      <c r="A107" s="113"/>
      <c r="B107" s="6"/>
      <c r="C107" s="6"/>
      <c r="D107" s="6"/>
      <c r="E107" s="6"/>
      <c r="F107" s="101"/>
      <c r="G107" s="102"/>
      <c r="H107" s="75"/>
      <c r="I107" s="75"/>
      <c r="J107" s="75"/>
      <c r="K107" s="75"/>
      <c r="N107" s="75"/>
      <c r="O107" s="75"/>
      <c r="P107" s="6"/>
      <c r="Q107" s="14"/>
      <c r="R107" s="14"/>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row>
    <row r="108" spans="1:56" s="21" customFormat="1" x14ac:dyDescent="0.15">
      <c r="A108" s="113"/>
      <c r="B108" s="6"/>
      <c r="C108" s="6"/>
      <c r="D108" s="6"/>
      <c r="E108" s="6"/>
      <c r="F108" s="101"/>
      <c r="G108" s="102"/>
      <c r="H108" s="75"/>
      <c r="I108" s="75"/>
      <c r="J108" s="75"/>
      <c r="K108" s="75"/>
      <c r="N108" s="75"/>
      <c r="O108" s="75"/>
      <c r="P108" s="6"/>
      <c r="Q108" s="14"/>
      <c r="R108" s="14"/>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row>
    <row r="109" spans="1:56" s="21" customFormat="1" x14ac:dyDescent="0.15">
      <c r="A109" s="113"/>
      <c r="B109" s="6"/>
      <c r="C109" s="6"/>
      <c r="D109" s="6"/>
      <c r="E109" s="6"/>
      <c r="F109" s="101"/>
      <c r="G109" s="102"/>
      <c r="H109" s="75"/>
      <c r="I109" s="75"/>
      <c r="J109" s="75"/>
      <c r="K109" s="75"/>
      <c r="N109" s="75"/>
      <c r="O109" s="75"/>
      <c r="P109" s="6"/>
      <c r="Q109" s="14"/>
      <c r="R109" s="14"/>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row>
    <row r="110" spans="1:56" x14ac:dyDescent="0.15">
      <c r="A110" s="113"/>
    </row>
    <row r="111" spans="1:56" x14ac:dyDescent="0.15">
      <c r="B111" s="6">
        <v>40985</v>
      </c>
      <c r="E111" s="6" t="s">
        <v>1549</v>
      </c>
      <c r="G111" s="102">
        <v>11</v>
      </c>
      <c r="H111" s="103">
        <v>10</v>
      </c>
      <c r="I111" s="103"/>
      <c r="J111" s="103"/>
      <c r="K111" s="103"/>
      <c r="L111" s="114"/>
      <c r="N111" s="104"/>
      <c r="O111" s="104"/>
      <c r="P111" s="6">
        <v>6</v>
      </c>
      <c r="Q111" s="14">
        <v>-4</v>
      </c>
      <c r="R111" s="14">
        <v>1.5509259259259261E-3</v>
      </c>
    </row>
    <row r="112" spans="1:56" x14ac:dyDescent="0.15">
      <c r="A112" s="113"/>
    </row>
    <row r="113" spans="1:21" x14ac:dyDescent="0.15">
      <c r="A113" s="113"/>
    </row>
    <row r="114" spans="1:21" x14ac:dyDescent="0.15">
      <c r="A114" s="113"/>
    </row>
    <row r="115" spans="1:21" x14ac:dyDescent="0.15">
      <c r="A115" s="113"/>
    </row>
    <row r="116" spans="1:21" x14ac:dyDescent="0.15">
      <c r="A116" s="113"/>
    </row>
    <row r="117" spans="1:21" x14ac:dyDescent="0.15">
      <c r="A117" s="113"/>
    </row>
    <row r="118" spans="1:21" x14ac:dyDescent="0.15">
      <c r="A118" s="113"/>
    </row>
    <row r="119" spans="1:21" x14ac:dyDescent="0.15">
      <c r="A119" s="113"/>
    </row>
    <row r="121" spans="1:21" x14ac:dyDescent="0.15">
      <c r="F121" s="71"/>
    </row>
    <row r="122" spans="1:21" x14ac:dyDescent="0.15">
      <c r="F122" s="71"/>
    </row>
    <row r="123" spans="1:21" x14ac:dyDescent="0.15">
      <c r="F123" s="107"/>
      <c r="G123" s="108"/>
    </row>
    <row r="126" spans="1:21" x14ac:dyDescent="0.15">
      <c r="A126" s="6" t="s">
        <v>196</v>
      </c>
      <c r="B126" s="6">
        <v>40990</v>
      </c>
      <c r="H126" s="104"/>
      <c r="I126" s="104"/>
      <c r="J126" s="104"/>
      <c r="K126" s="104">
        <v>9</v>
      </c>
      <c r="P126" s="6">
        <v>8</v>
      </c>
      <c r="Q126" s="14">
        <v>-10</v>
      </c>
      <c r="R126" s="14">
        <v>1.0995370370370371E-3</v>
      </c>
      <c r="S126" s="13">
        <v>0</v>
      </c>
      <c r="T126" s="13" t="s">
        <v>625</v>
      </c>
      <c r="U126" s="13" t="s">
        <v>1281</v>
      </c>
    </row>
    <row r="147" spans="10:56" ht="13" x14ac:dyDescent="0.15">
      <c r="U147" s="19" t="s">
        <v>1712</v>
      </c>
    </row>
    <row r="149" spans="10:56" x14ac:dyDescent="0.15">
      <c r="J149" s="75" t="s">
        <v>961</v>
      </c>
      <c r="K149" s="75">
        <v>8</v>
      </c>
      <c r="P149" s="6">
        <v>6</v>
      </c>
      <c r="Q149" s="14">
        <v>-6.25</v>
      </c>
      <c r="R149" s="14">
        <v>1.1689814814814816E-3</v>
      </c>
      <c r="S149" s="13">
        <v>80</v>
      </c>
      <c r="U149" s="13" t="s">
        <v>1715</v>
      </c>
    </row>
    <row r="150" spans="10:56" ht="13" x14ac:dyDescent="0.15">
      <c r="J150" s="75" t="s">
        <v>961</v>
      </c>
      <c r="P150" s="6">
        <v>2</v>
      </c>
      <c r="Q150" s="115" t="s">
        <v>1202</v>
      </c>
      <c r="R150" s="14">
        <v>7.6388888888888893E-4</v>
      </c>
      <c r="S150" s="13">
        <v>4520</v>
      </c>
      <c r="U150" s="19" t="s">
        <v>1717</v>
      </c>
      <c r="BD150" s="13">
        <v>4</v>
      </c>
    </row>
    <row r="151" spans="10:56" ht="13" x14ac:dyDescent="0.15">
      <c r="P151" s="6">
        <v>1</v>
      </c>
      <c r="Q151" s="14">
        <v>0.75</v>
      </c>
      <c r="R151" s="14">
        <v>1.1458333333333333E-3</v>
      </c>
      <c r="S151" s="13">
        <v>10980</v>
      </c>
      <c r="U151" s="19" t="s">
        <v>1720</v>
      </c>
      <c r="BC151" s="13">
        <v>4.2</v>
      </c>
      <c r="BD151" s="13">
        <v>3.2</v>
      </c>
    </row>
    <row r="157" spans="10:56" x14ac:dyDescent="0.15">
      <c r="L157" s="21">
        <v>30</v>
      </c>
    </row>
    <row r="161" spans="1:21" x14ac:dyDescent="0.15">
      <c r="A161" s="113"/>
      <c r="B161" s="6">
        <v>40999</v>
      </c>
      <c r="E161" s="6" t="s">
        <v>66</v>
      </c>
      <c r="F161" s="101" t="s">
        <v>1190</v>
      </c>
      <c r="G161" s="102">
        <v>3</v>
      </c>
      <c r="K161" s="75">
        <v>6</v>
      </c>
      <c r="L161" s="21">
        <v>6</v>
      </c>
      <c r="N161" s="75">
        <v>34000</v>
      </c>
    </row>
    <row r="162" spans="1:21" x14ac:dyDescent="0.15">
      <c r="L162" s="35"/>
    </row>
    <row r="164" spans="1:21" x14ac:dyDescent="0.15">
      <c r="B164" s="6">
        <v>41000</v>
      </c>
      <c r="E164" s="6" t="s">
        <v>1714</v>
      </c>
      <c r="G164" s="102">
        <v>10</v>
      </c>
      <c r="K164" s="75">
        <v>10</v>
      </c>
      <c r="L164" s="35"/>
      <c r="N164" s="75">
        <v>7600</v>
      </c>
      <c r="O164" s="75" t="s">
        <v>197</v>
      </c>
    </row>
    <row r="170" spans="1:21" ht="13" x14ac:dyDescent="0.15">
      <c r="B170" s="6">
        <v>41013</v>
      </c>
      <c r="F170" s="116" t="s">
        <v>1718</v>
      </c>
      <c r="I170" s="117" t="s">
        <v>1360</v>
      </c>
      <c r="N170" s="75">
        <v>750000</v>
      </c>
      <c r="O170" s="117" t="s">
        <v>1719</v>
      </c>
      <c r="U170" s="19" t="s">
        <v>376</v>
      </c>
    </row>
    <row r="239" spans="1:56" s="21" customFormat="1" ht="13" x14ac:dyDescent="0.15">
      <c r="A239" s="5" t="s">
        <v>355</v>
      </c>
      <c r="B239" s="6">
        <v>40997</v>
      </c>
      <c r="C239" s="5" t="s">
        <v>1035</v>
      </c>
      <c r="D239" s="6">
        <v>3</v>
      </c>
      <c r="E239" s="5" t="s">
        <v>662</v>
      </c>
      <c r="F239" s="101">
        <v>4.5138888888888892E-4</v>
      </c>
      <c r="G239" s="102"/>
      <c r="H239" s="75"/>
      <c r="I239" s="118" t="s">
        <v>1526</v>
      </c>
      <c r="J239" s="75"/>
      <c r="K239" s="75"/>
      <c r="N239" s="75"/>
      <c r="O239" s="75"/>
      <c r="P239" s="6"/>
      <c r="Q239" s="14"/>
      <c r="R239" s="14"/>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row>
    <row r="240" spans="1:56" s="21" customFormat="1" ht="13" x14ac:dyDescent="0.15">
      <c r="A240" s="5" t="s">
        <v>479</v>
      </c>
      <c r="B240" s="6">
        <v>40997</v>
      </c>
      <c r="C240" s="5" t="s">
        <v>1035</v>
      </c>
      <c r="D240" s="6">
        <v>4</v>
      </c>
      <c r="E240" s="5" t="s">
        <v>662</v>
      </c>
      <c r="F240" s="101">
        <v>5.7870370370370378E-4</v>
      </c>
      <c r="G240" s="102"/>
      <c r="H240" s="75"/>
      <c r="I240" s="118" t="s">
        <v>1210</v>
      </c>
      <c r="J240" s="75"/>
      <c r="K240" s="75"/>
      <c r="N240" s="75"/>
      <c r="O240" s="75"/>
      <c r="P240" s="6"/>
      <c r="Q240" s="14"/>
      <c r="R240" s="14"/>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row>
    <row r="241" spans="1:56" s="21" customFormat="1" ht="13" x14ac:dyDescent="0.15">
      <c r="A241" s="5" t="s">
        <v>375</v>
      </c>
      <c r="B241" s="6">
        <v>40997</v>
      </c>
      <c r="C241" s="5" t="s">
        <v>86</v>
      </c>
      <c r="D241" s="6">
        <v>4</v>
      </c>
      <c r="E241" s="5" t="s">
        <v>662</v>
      </c>
      <c r="F241" s="101">
        <v>5.5555555555555556E-4</v>
      </c>
      <c r="G241" s="102"/>
      <c r="H241" s="75"/>
      <c r="I241" s="118" t="s">
        <v>1204</v>
      </c>
      <c r="J241" s="75"/>
      <c r="K241" s="75"/>
      <c r="N241" s="75"/>
      <c r="O241" s="75"/>
      <c r="P241" s="6"/>
      <c r="Q241" s="14"/>
      <c r="R241" s="14"/>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row>
    <row r="242" spans="1:56" s="21" customFormat="1" ht="13" x14ac:dyDescent="0.15">
      <c r="A242" s="5" t="s">
        <v>1158</v>
      </c>
      <c r="B242" s="6">
        <v>40997</v>
      </c>
      <c r="C242" s="5" t="s">
        <v>797</v>
      </c>
      <c r="D242" s="6">
        <v>5</v>
      </c>
      <c r="E242" s="5" t="s">
        <v>758</v>
      </c>
      <c r="F242" s="101">
        <v>6.9444444444444447E-4</v>
      </c>
      <c r="G242" s="102"/>
      <c r="H242" s="75"/>
      <c r="I242" s="117" t="s">
        <v>1716</v>
      </c>
      <c r="J242" s="75"/>
      <c r="K242" s="75"/>
      <c r="N242" s="75"/>
      <c r="O242" s="75"/>
      <c r="P242" s="6"/>
      <c r="Q242" s="14"/>
      <c r="R242" s="14"/>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row>
    <row r="243" spans="1:56" s="21" customFormat="1" ht="13" x14ac:dyDescent="0.15">
      <c r="A243" s="5" t="s">
        <v>353</v>
      </c>
      <c r="B243" s="6">
        <v>40997</v>
      </c>
      <c r="C243" s="5" t="s">
        <v>797</v>
      </c>
      <c r="D243" s="6">
        <v>3</v>
      </c>
      <c r="E243" s="5" t="s">
        <v>758</v>
      </c>
      <c r="F243" s="101">
        <v>4.1666666666666669E-4</v>
      </c>
      <c r="G243" s="102"/>
      <c r="H243" s="117" t="s">
        <v>1249</v>
      </c>
      <c r="I243" s="118" t="s">
        <v>793</v>
      </c>
      <c r="J243" s="75"/>
      <c r="K243" s="75"/>
      <c r="N243" s="75"/>
      <c r="O243" s="75"/>
      <c r="P243" s="6"/>
      <c r="Q243" s="14"/>
      <c r="R243" s="14"/>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row>
    <row r="244" spans="1:56" s="21" customFormat="1" ht="13" x14ac:dyDescent="0.15">
      <c r="A244" s="5" t="s">
        <v>1528</v>
      </c>
      <c r="B244" s="6">
        <v>40997</v>
      </c>
      <c r="C244" s="5" t="s">
        <v>469</v>
      </c>
      <c r="D244" s="6">
        <v>6</v>
      </c>
      <c r="E244" s="5" t="s">
        <v>662</v>
      </c>
      <c r="F244" s="101">
        <v>8.6805555555555551E-4</v>
      </c>
      <c r="G244" s="102"/>
      <c r="H244" s="75"/>
      <c r="I244" s="118" t="s">
        <v>964</v>
      </c>
      <c r="J244" s="75"/>
      <c r="K244" s="75"/>
      <c r="N244" s="75"/>
      <c r="O244" s="75"/>
      <c r="P244" s="6"/>
      <c r="Q244" s="14"/>
      <c r="R244" s="14"/>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row>
  </sheetData>
  <pageMargins left="0.7" right="0.7" top="0.75" bottom="0.75" header="0.3" footer="0.3"/>
  <pageSetup orientation="portrait" verticalDpi="429496729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58"/>
  <sheetViews>
    <sheetView workbookViewId="0">
      <pane ySplit="3" topLeftCell="A4" activePane="bottomLeft" state="frozen"/>
      <selection pane="bottomLeft" activeCell="F33" sqref="F33"/>
    </sheetView>
  </sheetViews>
  <sheetFormatPr baseColWidth="10" defaultColWidth="9.1640625" defaultRowHeight="12" x14ac:dyDescent="0.15"/>
  <cols>
    <col min="1" max="1" width="19.33203125" style="6" customWidth="1"/>
    <col min="2" max="2" width="12.83203125" style="6" customWidth="1"/>
    <col min="3" max="3" width="23.33203125" style="6" customWidth="1"/>
    <col min="4" max="4" width="18.5" style="6" customWidth="1"/>
    <col min="5" max="5" width="17.1640625" style="6" customWidth="1"/>
    <col min="6" max="6" width="10.33203125" style="101" customWidth="1"/>
    <col min="7" max="7" width="10.33203125" style="102" customWidth="1"/>
    <col min="8" max="8" width="4.1640625" style="75" customWidth="1"/>
    <col min="9" max="11" width="3.5" style="75" customWidth="1"/>
    <col min="12" max="12" width="9.5" style="21" customWidth="1"/>
    <col min="13" max="13" width="9.6640625" style="21" customWidth="1"/>
    <col min="14" max="15" width="9.5" style="75" customWidth="1"/>
    <col min="16" max="16" width="9.1640625" style="6"/>
    <col min="17" max="17" width="2.6640625" style="14" customWidth="1"/>
    <col min="18" max="18" width="9.1640625" style="14"/>
    <col min="19" max="19" width="11.5" style="13" customWidth="1"/>
    <col min="20" max="20" width="9.1640625" style="13"/>
    <col min="21" max="21" width="2.6640625" style="13" customWidth="1"/>
    <col min="22" max="16384" width="9.1640625" style="13"/>
  </cols>
  <sheetData>
    <row r="1" spans="1:45" ht="12" customHeight="1" x14ac:dyDescent="0.15"/>
    <row r="2" spans="1:45" ht="12" customHeight="1" x14ac:dyDescent="0.15">
      <c r="A2" s="72"/>
      <c r="F2" s="73"/>
      <c r="G2" s="74" t="s">
        <v>436</v>
      </c>
      <c r="K2" s="76"/>
      <c r="L2" s="74" t="s">
        <v>624</v>
      </c>
      <c r="M2" s="74"/>
      <c r="N2" s="37"/>
      <c r="O2" s="7"/>
      <c r="P2" s="7"/>
      <c r="S2" s="38"/>
      <c r="AA2" s="77"/>
    </row>
    <row r="3" spans="1:45" s="84" customFormat="1" ht="44" customHeight="1" thickBot="1" x14ac:dyDescent="0.2">
      <c r="A3" s="78" t="s">
        <v>720</v>
      </c>
      <c r="B3" s="78" t="s">
        <v>710</v>
      </c>
      <c r="C3" s="78" t="s">
        <v>844</v>
      </c>
      <c r="D3" s="78" t="s">
        <v>670</v>
      </c>
      <c r="E3" s="78" t="s">
        <v>310</v>
      </c>
      <c r="F3" s="79" t="s">
        <v>845</v>
      </c>
      <c r="G3" s="80" t="s">
        <v>635</v>
      </c>
      <c r="H3" s="81" t="s">
        <v>392</v>
      </c>
      <c r="I3" s="81" t="s">
        <v>393</v>
      </c>
      <c r="J3" s="81" t="s">
        <v>394</v>
      </c>
      <c r="K3" s="81" t="s">
        <v>395</v>
      </c>
      <c r="L3" s="82" t="s">
        <v>647</v>
      </c>
      <c r="M3" s="82" t="s">
        <v>1977</v>
      </c>
      <c r="N3" s="81" t="s">
        <v>120</v>
      </c>
      <c r="O3" s="81" t="s">
        <v>1242</v>
      </c>
      <c r="P3" s="78" t="s">
        <v>669</v>
      </c>
      <c r="Q3" s="83"/>
      <c r="R3" s="83"/>
    </row>
    <row r="4" spans="1:45" s="90" customFormat="1" ht="12" customHeight="1" thickTop="1" x14ac:dyDescent="0.15">
      <c r="A4" s="51" t="s">
        <v>4710</v>
      </c>
      <c r="B4" s="51" t="s">
        <v>1034</v>
      </c>
      <c r="C4" s="51" t="s">
        <v>3568</v>
      </c>
      <c r="D4" s="51" t="s">
        <v>3802</v>
      </c>
      <c r="E4" s="51" t="s">
        <v>4668</v>
      </c>
      <c r="F4" s="85">
        <v>42479</v>
      </c>
      <c r="G4" s="86"/>
      <c r="H4" s="348"/>
      <c r="I4" s="348"/>
      <c r="J4" s="348"/>
      <c r="K4" s="348"/>
      <c r="L4" s="86"/>
      <c r="M4" s="86"/>
      <c r="N4" s="88"/>
      <c r="O4" s="349"/>
      <c r="P4" s="349"/>
      <c r="Q4" s="55"/>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13"/>
    </row>
    <row r="5" spans="1:45" s="90" customFormat="1" ht="12" customHeight="1" x14ac:dyDescent="0.15">
      <c r="A5" s="51" t="s">
        <v>4427</v>
      </c>
      <c r="B5" s="51" t="s">
        <v>1684</v>
      </c>
      <c r="C5" s="51" t="s">
        <v>3562</v>
      </c>
      <c r="D5" s="51" t="s">
        <v>3813</v>
      </c>
      <c r="E5" s="51" t="s">
        <v>4428</v>
      </c>
      <c r="F5" s="85">
        <v>42433</v>
      </c>
      <c r="G5" s="86"/>
      <c r="H5" s="348"/>
      <c r="I5" s="348"/>
      <c r="J5" s="348"/>
      <c r="K5" s="348"/>
      <c r="L5" s="86"/>
      <c r="M5" s="86"/>
      <c r="N5" s="88"/>
      <c r="O5" s="349"/>
      <c r="P5" s="349" t="s">
        <v>4484</v>
      </c>
      <c r="Q5" s="55"/>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13"/>
    </row>
    <row r="6" spans="1:45" s="90" customFormat="1" ht="12" customHeight="1" x14ac:dyDescent="0.15">
      <c r="A6" s="51" t="s">
        <v>4918</v>
      </c>
      <c r="B6" s="51" t="s">
        <v>3320</v>
      </c>
      <c r="C6" s="51" t="s">
        <v>3572</v>
      </c>
      <c r="D6" s="51" t="s">
        <v>3805</v>
      </c>
      <c r="E6" s="51" t="s">
        <v>4432</v>
      </c>
      <c r="F6" s="85">
        <v>42455</v>
      </c>
      <c r="G6" s="86"/>
      <c r="H6" s="348"/>
      <c r="I6" s="348"/>
      <c r="J6" s="348"/>
      <c r="K6" s="348"/>
      <c r="L6" s="86"/>
      <c r="M6" s="86"/>
      <c r="N6" s="88"/>
      <c r="O6" s="349"/>
      <c r="P6" s="349" t="s">
        <v>4434</v>
      </c>
      <c r="Q6" s="55"/>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13"/>
    </row>
    <row r="7" spans="1:45" s="90" customFormat="1" ht="12" customHeight="1" x14ac:dyDescent="0.15">
      <c r="A7" s="70" t="s">
        <v>2136</v>
      </c>
      <c r="B7" s="70" t="s">
        <v>1034</v>
      </c>
      <c r="C7" s="70" t="s">
        <v>3265</v>
      </c>
      <c r="D7" s="70" t="s">
        <v>2090</v>
      </c>
      <c r="E7" s="70" t="s">
        <v>4264</v>
      </c>
      <c r="F7" s="91">
        <v>42426</v>
      </c>
      <c r="G7" s="92"/>
      <c r="H7" s="93"/>
      <c r="I7" s="93"/>
      <c r="J7" s="93"/>
      <c r="K7" s="93"/>
      <c r="L7" s="92"/>
      <c r="M7" s="92"/>
      <c r="N7" s="94"/>
      <c r="O7" s="95"/>
      <c r="P7" s="95" t="s">
        <v>3650</v>
      </c>
      <c r="Q7" s="67"/>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13"/>
    </row>
    <row r="8" spans="1:45" s="90" customFormat="1" ht="12" customHeight="1" x14ac:dyDescent="0.15">
      <c r="A8" s="70" t="s">
        <v>2136</v>
      </c>
      <c r="B8" s="51" t="s">
        <v>3320</v>
      </c>
      <c r="C8" s="51" t="s">
        <v>1619</v>
      </c>
      <c r="D8" s="51" t="s">
        <v>898</v>
      </c>
      <c r="E8" s="51" t="s">
        <v>4912</v>
      </c>
      <c r="F8" s="85">
        <v>42503</v>
      </c>
      <c r="G8" s="86"/>
      <c r="H8" s="348"/>
      <c r="I8" s="348"/>
      <c r="J8" s="348"/>
      <c r="K8" s="348"/>
      <c r="L8" s="86"/>
      <c r="M8" s="86"/>
      <c r="N8" s="88"/>
      <c r="O8" s="349"/>
      <c r="P8" s="349" t="s">
        <v>4913</v>
      </c>
      <c r="Q8" s="55"/>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13"/>
    </row>
    <row r="9" spans="1:45" s="90" customFormat="1" ht="12" customHeight="1" x14ac:dyDescent="0.15">
      <c r="A9" s="70" t="s">
        <v>2136</v>
      </c>
      <c r="B9" s="51" t="s">
        <v>1684</v>
      </c>
      <c r="C9" s="51" t="s">
        <v>3553</v>
      </c>
      <c r="D9" s="51" t="s">
        <v>2097</v>
      </c>
      <c r="E9" s="51" t="s">
        <v>5053</v>
      </c>
      <c r="F9" s="85">
        <v>42521</v>
      </c>
      <c r="G9" s="86"/>
      <c r="H9" s="348"/>
      <c r="I9" s="348"/>
      <c r="J9" s="348"/>
      <c r="K9" s="348"/>
      <c r="L9" s="86"/>
      <c r="M9" s="86"/>
      <c r="N9" s="88"/>
      <c r="O9" s="349"/>
      <c r="P9" s="349"/>
      <c r="Q9" s="55"/>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13"/>
    </row>
    <row r="10" spans="1:45" s="90" customFormat="1" ht="12" customHeight="1" x14ac:dyDescent="0.15">
      <c r="A10" s="70" t="s">
        <v>2136</v>
      </c>
      <c r="B10" s="51" t="s">
        <v>1684</v>
      </c>
      <c r="C10" s="51" t="s">
        <v>3554</v>
      </c>
      <c r="D10" s="51" t="s">
        <v>951</v>
      </c>
      <c r="E10" s="51" t="s">
        <v>5001</v>
      </c>
      <c r="F10" s="85">
        <v>42483</v>
      </c>
      <c r="G10" s="86"/>
      <c r="H10" s="348"/>
      <c r="I10" s="348"/>
      <c r="J10" s="348"/>
      <c r="K10" s="348"/>
      <c r="L10" s="86"/>
      <c r="M10" s="86"/>
      <c r="N10" s="88"/>
      <c r="O10" s="349"/>
      <c r="P10" s="349"/>
      <c r="Q10" s="55"/>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13"/>
    </row>
    <row r="11" spans="1:45" s="90" customFormat="1" ht="12" customHeight="1" x14ac:dyDescent="0.15">
      <c r="A11" s="70" t="s">
        <v>2136</v>
      </c>
      <c r="B11" s="51" t="s">
        <v>1684</v>
      </c>
      <c r="C11" s="51" t="s">
        <v>3814</v>
      </c>
      <c r="D11" s="51" t="s">
        <v>3815</v>
      </c>
      <c r="E11" s="51" t="s">
        <v>4667</v>
      </c>
      <c r="F11" s="85">
        <v>42419</v>
      </c>
      <c r="G11" s="86"/>
      <c r="H11" s="348"/>
      <c r="I11" s="348"/>
      <c r="J11" s="348"/>
      <c r="K11" s="348"/>
      <c r="L11" s="86"/>
      <c r="M11" s="86"/>
      <c r="N11" s="88"/>
      <c r="O11" s="349"/>
      <c r="P11" s="349"/>
      <c r="Q11" s="55"/>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13"/>
    </row>
    <row r="12" spans="1:45" s="90" customFormat="1" ht="12" customHeight="1" x14ac:dyDescent="0.15">
      <c r="A12" s="70" t="s">
        <v>2136</v>
      </c>
      <c r="B12" s="51" t="s">
        <v>1034</v>
      </c>
      <c r="C12" s="51" t="s">
        <v>3556</v>
      </c>
      <c r="D12" s="51" t="s">
        <v>3597</v>
      </c>
      <c r="E12" s="51" t="s">
        <v>4914</v>
      </c>
      <c r="F12" s="85">
        <v>42499</v>
      </c>
      <c r="G12" s="86"/>
      <c r="H12" s="348"/>
      <c r="I12" s="348"/>
      <c r="J12" s="348"/>
      <c r="K12" s="348"/>
      <c r="L12" s="86"/>
      <c r="M12" s="86"/>
      <c r="N12" s="88"/>
      <c r="O12" s="349"/>
      <c r="P12" s="349"/>
      <c r="Q12" s="55"/>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13"/>
    </row>
    <row r="13" spans="1:45" s="90" customFormat="1" ht="12" customHeight="1" x14ac:dyDescent="0.15">
      <c r="A13" s="70" t="s">
        <v>2136</v>
      </c>
      <c r="B13" s="51" t="s">
        <v>1684</v>
      </c>
      <c r="C13" s="51" t="s">
        <v>2482</v>
      </c>
      <c r="D13" s="51" t="s">
        <v>3810</v>
      </c>
      <c r="E13" s="51" t="s">
        <v>4709</v>
      </c>
      <c r="F13" s="85">
        <v>42487</v>
      </c>
      <c r="G13" s="86"/>
      <c r="H13" s="348"/>
      <c r="I13" s="348"/>
      <c r="J13" s="348"/>
      <c r="K13" s="348"/>
      <c r="L13" s="86"/>
      <c r="M13" s="86"/>
      <c r="N13" s="88"/>
      <c r="O13" s="349"/>
      <c r="P13" s="349"/>
      <c r="Q13" s="55"/>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13"/>
    </row>
    <row r="14" spans="1:45" s="90" customFormat="1" ht="12" customHeight="1" x14ac:dyDescent="0.15">
      <c r="A14" s="70" t="s">
        <v>2136</v>
      </c>
      <c r="B14" s="51" t="s">
        <v>1684</v>
      </c>
      <c r="C14" s="51" t="s">
        <v>3558</v>
      </c>
      <c r="D14" s="51" t="s">
        <v>3811</v>
      </c>
      <c r="E14" s="51" t="s">
        <v>5094</v>
      </c>
      <c r="F14" s="85">
        <v>42494</v>
      </c>
      <c r="G14" s="86"/>
      <c r="H14" s="348"/>
      <c r="I14" s="348"/>
      <c r="J14" s="348"/>
      <c r="K14" s="348"/>
      <c r="L14" s="86"/>
      <c r="M14" s="86"/>
      <c r="N14" s="88"/>
      <c r="O14" s="349"/>
      <c r="P14" s="349"/>
      <c r="Q14" s="55"/>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13"/>
    </row>
    <row r="15" spans="1:45" s="90" customFormat="1" ht="12" customHeight="1" x14ac:dyDescent="0.15">
      <c r="A15" s="70" t="s">
        <v>2136</v>
      </c>
      <c r="B15" s="51" t="s">
        <v>1034</v>
      </c>
      <c r="C15" s="51" t="s">
        <v>1240</v>
      </c>
      <c r="D15" s="51" t="s">
        <v>1271</v>
      </c>
      <c r="E15" s="51" t="s">
        <v>4381</v>
      </c>
      <c r="F15" s="85">
        <v>42452</v>
      </c>
      <c r="G15" s="86"/>
      <c r="H15" s="348"/>
      <c r="I15" s="348"/>
      <c r="J15" s="348"/>
      <c r="K15" s="348"/>
      <c r="L15" s="86"/>
      <c r="M15" s="86"/>
      <c r="N15" s="88"/>
      <c r="O15" s="349"/>
      <c r="P15" s="349"/>
      <c r="Q15" s="55"/>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13"/>
    </row>
    <row r="16" spans="1:45" s="90" customFormat="1" ht="12" customHeight="1" x14ac:dyDescent="0.15">
      <c r="A16" s="70" t="s">
        <v>2136</v>
      </c>
      <c r="B16" s="51" t="s">
        <v>1034</v>
      </c>
      <c r="C16" s="51" t="s">
        <v>3559</v>
      </c>
      <c r="D16" s="51" t="s">
        <v>1630</v>
      </c>
      <c r="E16" s="51" t="s">
        <v>4669</v>
      </c>
      <c r="F16" s="85">
        <v>42469</v>
      </c>
      <c r="G16" s="86"/>
      <c r="H16" s="348"/>
      <c r="I16" s="348"/>
      <c r="J16" s="348"/>
      <c r="K16" s="348"/>
      <c r="L16" s="86"/>
      <c r="M16" s="86"/>
      <c r="N16" s="88"/>
      <c r="O16" s="349"/>
      <c r="P16" s="349"/>
      <c r="Q16" s="55"/>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13"/>
    </row>
    <row r="17" spans="1:45" s="90" customFormat="1" ht="12" customHeight="1" x14ac:dyDescent="0.15">
      <c r="A17" s="70" t="s">
        <v>2136</v>
      </c>
      <c r="B17" s="51" t="s">
        <v>1034</v>
      </c>
      <c r="C17" s="51" t="s">
        <v>401</v>
      </c>
      <c r="D17" s="51" t="s">
        <v>462</v>
      </c>
      <c r="E17" s="51" t="s">
        <v>4381</v>
      </c>
      <c r="F17" s="85">
        <v>42432</v>
      </c>
      <c r="G17" s="86"/>
      <c r="H17" s="348"/>
      <c r="I17" s="348"/>
      <c r="J17" s="348"/>
      <c r="K17" s="348"/>
      <c r="L17" s="86"/>
      <c r="M17" s="86"/>
      <c r="N17" s="88"/>
      <c r="O17" s="349"/>
      <c r="P17" s="349" t="s">
        <v>4265</v>
      </c>
      <c r="Q17" s="55"/>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13"/>
    </row>
    <row r="18" spans="1:45" s="90" customFormat="1" ht="12" customHeight="1" x14ac:dyDescent="0.15">
      <c r="A18" s="70" t="s">
        <v>2136</v>
      </c>
      <c r="B18" s="51" t="s">
        <v>492</v>
      </c>
      <c r="C18" s="51" t="s">
        <v>3563</v>
      </c>
      <c r="D18" s="51" t="s">
        <v>1255</v>
      </c>
      <c r="E18" s="51" t="s">
        <v>4340</v>
      </c>
      <c r="F18" s="85">
        <v>42413</v>
      </c>
      <c r="G18" s="86"/>
      <c r="H18" s="348"/>
      <c r="I18" s="348"/>
      <c r="J18" s="348"/>
      <c r="K18" s="348"/>
      <c r="L18" s="86"/>
      <c r="M18" s="86"/>
      <c r="N18" s="88"/>
      <c r="O18" s="349"/>
      <c r="P18" s="349" t="s">
        <v>3858</v>
      </c>
      <c r="Q18" s="55"/>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13"/>
    </row>
    <row r="19" spans="1:45" s="90" customFormat="1" ht="12" customHeight="1" x14ac:dyDescent="0.15">
      <c r="A19" s="70" t="s">
        <v>2136</v>
      </c>
      <c r="B19" s="51" t="s">
        <v>1684</v>
      </c>
      <c r="C19" s="51" t="s">
        <v>2501</v>
      </c>
      <c r="D19" s="51" t="s">
        <v>2502</v>
      </c>
      <c r="E19" s="51" t="s">
        <v>2506</v>
      </c>
      <c r="F19" s="85">
        <v>42491</v>
      </c>
      <c r="G19" s="86"/>
      <c r="H19" s="348"/>
      <c r="I19" s="348"/>
      <c r="J19" s="348"/>
      <c r="K19" s="348"/>
      <c r="L19" s="86"/>
      <c r="M19" s="86"/>
      <c r="N19" s="88"/>
      <c r="O19" s="349"/>
      <c r="P19" s="349"/>
      <c r="Q19" s="55"/>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13"/>
    </row>
    <row r="20" spans="1:45" s="90" customFormat="1" ht="12.75" customHeight="1" x14ac:dyDescent="0.15">
      <c r="A20" s="70" t="s">
        <v>2136</v>
      </c>
      <c r="B20" s="51" t="s">
        <v>1684</v>
      </c>
      <c r="C20" s="51" t="s">
        <v>3566</v>
      </c>
      <c r="D20" s="51" t="s">
        <v>107</v>
      </c>
      <c r="E20" s="51" t="s">
        <v>4341</v>
      </c>
      <c r="F20" s="85">
        <v>42443</v>
      </c>
      <c r="G20" s="86"/>
      <c r="H20" s="348"/>
      <c r="I20" s="348"/>
      <c r="J20" s="348"/>
      <c r="K20" s="348"/>
      <c r="L20" s="86"/>
      <c r="M20" s="86"/>
      <c r="N20" s="88"/>
      <c r="O20" s="349"/>
      <c r="P20" s="349"/>
      <c r="Q20" s="55"/>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13"/>
    </row>
    <row r="21" spans="1:45" s="90" customFormat="1" ht="12" customHeight="1" x14ac:dyDescent="0.15">
      <c r="A21" s="70" t="s">
        <v>2136</v>
      </c>
      <c r="B21" s="51" t="s">
        <v>3320</v>
      </c>
      <c r="C21" s="51" t="s">
        <v>3567</v>
      </c>
      <c r="D21" s="51" t="s">
        <v>951</v>
      </c>
      <c r="E21" s="51" t="s">
        <v>5147</v>
      </c>
      <c r="F21" s="85">
        <v>42505</v>
      </c>
      <c r="G21" s="86"/>
      <c r="H21" s="348"/>
      <c r="I21" s="348"/>
      <c r="J21" s="348"/>
      <c r="K21" s="348"/>
      <c r="L21" s="86"/>
      <c r="M21" s="86"/>
      <c r="N21" s="88"/>
      <c r="O21" s="349"/>
      <c r="P21" s="349"/>
      <c r="Q21" s="55"/>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13"/>
    </row>
    <row r="22" spans="1:45" s="90" customFormat="1" ht="12" customHeight="1" x14ac:dyDescent="0.15">
      <c r="A22" s="70" t="s">
        <v>2136</v>
      </c>
      <c r="B22" s="51" t="s">
        <v>1034</v>
      </c>
      <c r="C22" s="51" t="s">
        <v>3578</v>
      </c>
      <c r="D22" s="51" t="s">
        <v>751</v>
      </c>
      <c r="E22" s="51" t="s">
        <v>1774</v>
      </c>
      <c r="F22" s="85">
        <v>42516</v>
      </c>
      <c r="G22" s="86"/>
      <c r="H22" s="348"/>
      <c r="I22" s="348"/>
      <c r="J22" s="348"/>
      <c r="K22" s="348"/>
      <c r="L22" s="86"/>
      <c r="M22" s="86"/>
      <c r="N22" s="88"/>
      <c r="O22" s="349"/>
      <c r="P22" s="349" t="s">
        <v>3579</v>
      </c>
      <c r="Q22" s="55"/>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13"/>
    </row>
    <row r="23" spans="1:45" s="90" customFormat="1" ht="12" customHeight="1" x14ac:dyDescent="0.15">
      <c r="A23" s="70" t="s">
        <v>2136</v>
      </c>
      <c r="B23" s="51" t="s">
        <v>4916</v>
      </c>
      <c r="C23" s="51" t="s">
        <v>3569</v>
      </c>
      <c r="D23" s="51" t="s">
        <v>1304</v>
      </c>
      <c r="E23" s="51" t="s">
        <v>4915</v>
      </c>
      <c r="F23" s="85">
        <v>42460</v>
      </c>
      <c r="G23" s="86"/>
      <c r="H23" s="348"/>
      <c r="I23" s="348"/>
      <c r="J23" s="348"/>
      <c r="K23" s="348"/>
      <c r="L23" s="86"/>
      <c r="M23" s="86"/>
      <c r="N23" s="88"/>
      <c r="O23" s="349"/>
      <c r="P23" s="349"/>
      <c r="Q23" s="55"/>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13"/>
    </row>
    <row r="24" spans="1:45" s="90" customFormat="1" ht="12" customHeight="1" x14ac:dyDescent="0.15">
      <c r="A24" s="70" t="s">
        <v>2136</v>
      </c>
      <c r="B24" s="51" t="s">
        <v>1766</v>
      </c>
      <c r="C24" s="51" t="s">
        <v>3570</v>
      </c>
      <c r="D24" s="51" t="s">
        <v>3803</v>
      </c>
      <c r="E24" s="51" t="s">
        <v>4917</v>
      </c>
      <c r="F24" s="85">
        <v>42487</v>
      </c>
      <c r="G24" s="86"/>
      <c r="H24" s="348"/>
      <c r="I24" s="348"/>
      <c r="J24" s="348"/>
      <c r="K24" s="348"/>
      <c r="L24" s="86"/>
      <c r="M24" s="86"/>
      <c r="N24" s="88"/>
      <c r="O24" s="349"/>
      <c r="P24" s="349"/>
      <c r="Q24" s="55"/>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13"/>
    </row>
    <row r="25" spans="1:45" s="90" customFormat="1" ht="12" customHeight="1" x14ac:dyDescent="0.15">
      <c r="A25" s="70" t="s">
        <v>2136</v>
      </c>
      <c r="B25" s="51" t="s">
        <v>29</v>
      </c>
      <c r="C25" s="51" t="s">
        <v>3571</v>
      </c>
      <c r="D25" s="51" t="s">
        <v>3804</v>
      </c>
      <c r="E25" s="51" t="s">
        <v>4670</v>
      </c>
      <c r="F25" s="85">
        <v>42473</v>
      </c>
      <c r="G25" s="86"/>
      <c r="H25" s="348"/>
      <c r="I25" s="348"/>
      <c r="J25" s="348"/>
      <c r="K25" s="348"/>
      <c r="L25" s="86"/>
      <c r="M25" s="86"/>
      <c r="N25" s="88"/>
      <c r="O25" s="349"/>
      <c r="P25" s="349"/>
      <c r="Q25" s="55"/>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13"/>
    </row>
    <row r="26" spans="1:45" s="90" customFormat="1" ht="12" customHeight="1" x14ac:dyDescent="0.15">
      <c r="A26" s="70" t="s">
        <v>2136</v>
      </c>
      <c r="B26" s="51" t="s">
        <v>1684</v>
      </c>
      <c r="C26" s="51" t="s">
        <v>3575</v>
      </c>
      <c r="D26" s="51" t="s">
        <v>3806</v>
      </c>
      <c r="E26" s="51" t="s">
        <v>4711</v>
      </c>
      <c r="F26" s="85">
        <v>42478</v>
      </c>
      <c r="G26" s="86"/>
      <c r="H26" s="348"/>
      <c r="I26" s="348"/>
      <c r="J26" s="348"/>
      <c r="K26" s="348"/>
      <c r="L26" s="86"/>
      <c r="M26" s="86"/>
      <c r="N26" s="88"/>
      <c r="O26" s="349"/>
      <c r="P26" s="349"/>
      <c r="Q26" s="55"/>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13"/>
    </row>
    <row r="27" spans="1:45" s="90" customFormat="1" ht="12" customHeight="1" x14ac:dyDescent="0.15">
      <c r="A27" s="70" t="s">
        <v>2136</v>
      </c>
      <c r="B27" s="51" t="s">
        <v>1684</v>
      </c>
      <c r="C27" s="51" t="s">
        <v>3576</v>
      </c>
      <c r="D27" s="51" t="s">
        <v>3807</v>
      </c>
      <c r="E27" s="51" t="s">
        <v>5054</v>
      </c>
      <c r="F27" s="85">
        <v>42438</v>
      </c>
      <c r="G27" s="86"/>
      <c r="H27" s="348"/>
      <c r="I27" s="348"/>
      <c r="J27" s="348"/>
      <c r="K27" s="348"/>
      <c r="L27" s="86"/>
      <c r="M27" s="86"/>
      <c r="N27" s="88"/>
      <c r="O27" s="349"/>
      <c r="P27" s="349"/>
      <c r="Q27" s="55"/>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13"/>
    </row>
    <row r="28" spans="1:45" s="90" customFormat="1" ht="12" customHeight="1" x14ac:dyDescent="0.15">
      <c r="A28" s="70" t="s">
        <v>2136</v>
      </c>
      <c r="B28" s="51" t="s">
        <v>3320</v>
      </c>
      <c r="C28" s="51" t="s">
        <v>2291</v>
      </c>
      <c r="D28" s="51" t="s">
        <v>2008</v>
      </c>
      <c r="E28" s="51" t="s">
        <v>5179</v>
      </c>
      <c r="F28" s="85">
        <v>42465</v>
      </c>
      <c r="G28" s="86"/>
      <c r="H28" s="348"/>
      <c r="I28" s="348"/>
      <c r="J28" s="348"/>
      <c r="K28" s="348"/>
      <c r="L28" s="86"/>
      <c r="M28" s="86"/>
      <c r="N28" s="88"/>
      <c r="O28" s="349"/>
      <c r="P28" s="349"/>
      <c r="Q28" s="55"/>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13"/>
    </row>
    <row r="29" spans="1:45" s="90" customFormat="1" ht="12" customHeight="1" x14ac:dyDescent="0.15">
      <c r="A29" s="51"/>
      <c r="B29" s="51"/>
      <c r="C29" s="51" t="s">
        <v>3550</v>
      </c>
      <c r="D29" s="51" t="s">
        <v>3809</v>
      </c>
      <c r="E29" s="51"/>
      <c r="F29" s="85"/>
      <c r="G29" s="86"/>
      <c r="H29" s="348"/>
      <c r="I29" s="348"/>
      <c r="J29" s="348"/>
      <c r="K29" s="348"/>
      <c r="L29" s="86"/>
      <c r="M29" s="86"/>
      <c r="N29" s="88"/>
      <c r="O29" s="349"/>
      <c r="P29" s="349"/>
      <c r="Q29" s="55"/>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13"/>
    </row>
    <row r="30" spans="1:45" s="90" customFormat="1" ht="12" customHeight="1" x14ac:dyDescent="0.15">
      <c r="A30" s="51"/>
      <c r="B30" s="51"/>
      <c r="C30" s="51" t="s">
        <v>3551</v>
      </c>
      <c r="D30" s="51" t="s">
        <v>1088</v>
      </c>
      <c r="E30" s="51"/>
      <c r="F30" s="85"/>
      <c r="G30" s="86"/>
      <c r="H30" s="348"/>
      <c r="I30" s="348"/>
      <c r="J30" s="348"/>
      <c r="K30" s="348"/>
      <c r="L30" s="86"/>
      <c r="M30" s="86"/>
      <c r="N30" s="88"/>
      <c r="O30" s="349"/>
      <c r="P30" s="349"/>
      <c r="Q30" s="55"/>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13"/>
    </row>
    <row r="31" spans="1:45" s="90" customFormat="1" ht="12" customHeight="1" x14ac:dyDescent="0.15">
      <c r="A31" s="51"/>
      <c r="B31" s="51"/>
      <c r="C31" s="51" t="s">
        <v>3552</v>
      </c>
      <c r="D31" s="51" t="s">
        <v>2500</v>
      </c>
      <c r="E31" s="51"/>
      <c r="F31" s="85"/>
      <c r="G31" s="86"/>
      <c r="H31" s="348"/>
      <c r="I31" s="348"/>
      <c r="J31" s="348"/>
      <c r="K31" s="348"/>
      <c r="L31" s="86"/>
      <c r="M31" s="86"/>
      <c r="N31" s="88"/>
      <c r="O31" s="349"/>
      <c r="P31" s="349"/>
      <c r="Q31" s="55"/>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13"/>
    </row>
    <row r="32" spans="1:45" s="90" customFormat="1" ht="12" customHeight="1" x14ac:dyDescent="0.15">
      <c r="A32" s="51"/>
      <c r="B32" s="51"/>
      <c r="C32" s="51" t="s">
        <v>1408</v>
      </c>
      <c r="D32" s="51" t="s">
        <v>1027</v>
      </c>
      <c r="E32" s="51"/>
      <c r="F32" s="85"/>
      <c r="G32" s="86"/>
      <c r="H32" s="348"/>
      <c r="I32" s="348"/>
      <c r="J32" s="348"/>
      <c r="K32" s="348"/>
      <c r="L32" s="86"/>
      <c r="M32" s="86"/>
      <c r="N32" s="88"/>
      <c r="O32" s="349"/>
      <c r="P32" s="349"/>
      <c r="Q32" s="55"/>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13"/>
    </row>
    <row r="33" spans="1:45" s="90" customFormat="1" ht="12" customHeight="1" x14ac:dyDescent="0.15">
      <c r="A33" s="51"/>
      <c r="B33" s="51"/>
      <c r="C33" s="51" t="s">
        <v>3555</v>
      </c>
      <c r="D33" s="51" t="s">
        <v>1853</v>
      </c>
      <c r="E33" s="51"/>
      <c r="F33" s="85"/>
      <c r="G33" s="86"/>
      <c r="H33" s="348"/>
      <c r="I33" s="348"/>
      <c r="J33" s="348"/>
      <c r="K33" s="348"/>
      <c r="L33" s="86"/>
      <c r="M33" s="86"/>
      <c r="N33" s="88"/>
      <c r="O33" s="349"/>
      <c r="P33" s="349"/>
      <c r="Q33" s="55"/>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13"/>
    </row>
    <row r="34" spans="1:45" s="90" customFormat="1" ht="12" customHeight="1" x14ac:dyDescent="0.15">
      <c r="A34" s="51"/>
      <c r="B34" s="51"/>
      <c r="C34" s="51" t="s">
        <v>3557</v>
      </c>
      <c r="D34" s="51" t="s">
        <v>3597</v>
      </c>
      <c r="E34" s="51"/>
      <c r="F34" s="85"/>
      <c r="G34" s="86"/>
      <c r="H34" s="348"/>
      <c r="I34" s="348"/>
      <c r="J34" s="348"/>
      <c r="K34" s="348"/>
      <c r="L34" s="86"/>
      <c r="M34" s="86"/>
      <c r="N34" s="88"/>
      <c r="O34" s="349"/>
      <c r="P34" s="349"/>
      <c r="Q34" s="55"/>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13"/>
    </row>
    <row r="35" spans="1:45" s="90" customFormat="1" ht="12" customHeight="1" x14ac:dyDescent="0.15">
      <c r="A35" s="51"/>
      <c r="B35" s="51"/>
      <c r="C35" s="51" t="s">
        <v>3560</v>
      </c>
      <c r="D35" s="51" t="s">
        <v>3812</v>
      </c>
      <c r="E35" s="51"/>
      <c r="F35" s="85"/>
      <c r="G35" s="86"/>
      <c r="H35" s="348"/>
      <c r="I35" s="348"/>
      <c r="J35" s="348"/>
      <c r="K35" s="348"/>
      <c r="L35" s="86"/>
      <c r="M35" s="86"/>
      <c r="N35" s="88"/>
      <c r="O35" s="349"/>
      <c r="P35" s="349"/>
      <c r="Q35" s="55"/>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13"/>
    </row>
    <row r="36" spans="1:45" s="90" customFormat="1" ht="12" customHeight="1" x14ac:dyDescent="0.15">
      <c r="A36" s="51"/>
      <c r="B36" s="51"/>
      <c r="C36" s="51" t="s">
        <v>3561</v>
      </c>
      <c r="D36" s="51" t="s">
        <v>107</v>
      </c>
      <c r="E36" s="51"/>
      <c r="F36" s="85"/>
      <c r="G36" s="86"/>
      <c r="H36" s="348"/>
      <c r="I36" s="348"/>
      <c r="J36" s="348"/>
      <c r="K36" s="348"/>
      <c r="L36" s="86"/>
      <c r="M36" s="86"/>
      <c r="N36" s="88"/>
      <c r="O36" s="349"/>
      <c r="P36" s="349"/>
      <c r="Q36" s="55"/>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13"/>
    </row>
    <row r="37" spans="1:45" s="90" customFormat="1" ht="12" customHeight="1" x14ac:dyDescent="0.15">
      <c r="A37" s="51"/>
      <c r="B37" s="51"/>
      <c r="C37" s="51" t="s">
        <v>3564</v>
      </c>
      <c r="D37" s="51" t="s">
        <v>3800</v>
      </c>
      <c r="E37" s="51"/>
      <c r="F37" s="85"/>
      <c r="G37" s="86"/>
      <c r="H37" s="348"/>
      <c r="I37" s="348"/>
      <c r="J37" s="348"/>
      <c r="K37" s="348"/>
      <c r="L37" s="86"/>
      <c r="M37" s="86"/>
      <c r="N37" s="88"/>
      <c r="O37" s="349"/>
      <c r="P37" s="349"/>
      <c r="Q37" s="55"/>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13"/>
    </row>
    <row r="38" spans="1:45" s="90" customFormat="1" ht="12" customHeight="1" x14ac:dyDescent="0.15">
      <c r="A38" s="51"/>
      <c r="B38" s="51"/>
      <c r="C38" s="51" t="s">
        <v>3565</v>
      </c>
      <c r="D38" s="51" t="s">
        <v>3801</v>
      </c>
      <c r="E38" s="51"/>
      <c r="F38" s="85"/>
      <c r="G38" s="86"/>
      <c r="H38" s="348"/>
      <c r="I38" s="348"/>
      <c r="J38" s="348"/>
      <c r="K38" s="348"/>
      <c r="L38" s="86"/>
      <c r="M38" s="86"/>
      <c r="N38" s="88"/>
      <c r="O38" s="349"/>
      <c r="P38" s="349"/>
      <c r="Q38" s="55"/>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13"/>
    </row>
    <row r="39" spans="1:45" s="90" customFormat="1" ht="12" customHeight="1" x14ac:dyDescent="0.15">
      <c r="A39" s="51"/>
      <c r="B39" s="51"/>
      <c r="C39" s="51" t="s">
        <v>3574</v>
      </c>
      <c r="D39" s="51" t="s">
        <v>2086</v>
      </c>
      <c r="E39" s="51"/>
      <c r="F39" s="85"/>
      <c r="G39" s="86"/>
      <c r="H39" s="348"/>
      <c r="I39" s="348"/>
      <c r="J39" s="348"/>
      <c r="K39" s="348"/>
      <c r="L39" s="86"/>
      <c r="M39" s="86"/>
      <c r="N39" s="88"/>
      <c r="O39" s="349"/>
      <c r="P39" s="349"/>
      <c r="Q39" s="55"/>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13"/>
    </row>
    <row r="40" spans="1:45" s="90" customFormat="1" ht="12" customHeight="1" x14ac:dyDescent="0.15">
      <c r="A40" s="51"/>
      <c r="B40" s="51"/>
      <c r="C40" s="51" t="s">
        <v>2249</v>
      </c>
      <c r="D40" s="51" t="s">
        <v>3597</v>
      </c>
      <c r="E40" s="51"/>
      <c r="F40" s="85"/>
      <c r="G40" s="86"/>
      <c r="H40" s="348"/>
      <c r="I40" s="348"/>
      <c r="J40" s="348"/>
      <c r="K40" s="348"/>
      <c r="L40" s="86"/>
      <c r="M40" s="86"/>
      <c r="N40" s="88"/>
      <c r="O40" s="349"/>
      <c r="P40" s="349"/>
      <c r="Q40" s="55"/>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13"/>
    </row>
    <row r="41" spans="1:45" s="90" customFormat="1" ht="12" customHeight="1" x14ac:dyDescent="0.15">
      <c r="A41" s="51"/>
      <c r="B41" s="51"/>
      <c r="C41" s="51" t="s">
        <v>3577</v>
      </c>
      <c r="D41" s="51" t="s">
        <v>3808</v>
      </c>
      <c r="E41" s="51"/>
      <c r="F41" s="85"/>
      <c r="G41" s="86"/>
      <c r="H41" s="348"/>
      <c r="I41" s="348"/>
      <c r="J41" s="348"/>
      <c r="K41" s="348"/>
      <c r="L41" s="86"/>
      <c r="M41" s="86"/>
      <c r="N41" s="88"/>
      <c r="O41" s="349"/>
      <c r="P41" s="349"/>
      <c r="Q41" s="55"/>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13"/>
    </row>
    <row r="42" spans="1:45" s="90" customFormat="1" ht="12" customHeight="1" x14ac:dyDescent="0.15">
      <c r="A42" s="51"/>
      <c r="B42" s="51"/>
      <c r="C42" s="51"/>
      <c r="D42" s="51"/>
      <c r="E42" s="51"/>
      <c r="F42" s="85"/>
      <c r="G42" s="86"/>
      <c r="H42" s="348"/>
      <c r="I42" s="348"/>
      <c r="J42" s="348"/>
      <c r="K42" s="348"/>
      <c r="L42" s="86"/>
      <c r="M42" s="86"/>
      <c r="N42" s="88"/>
      <c r="O42" s="349"/>
      <c r="P42" s="349"/>
      <c r="Q42" s="55"/>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13"/>
    </row>
    <row r="43" spans="1:45" s="90" customFormat="1" ht="12" customHeight="1" x14ac:dyDescent="0.15">
      <c r="A43" s="51"/>
      <c r="B43" s="51"/>
      <c r="C43" s="51"/>
      <c r="D43" s="51"/>
      <c r="E43" s="51"/>
      <c r="F43" s="85"/>
      <c r="G43" s="86"/>
      <c r="H43" s="348"/>
      <c r="I43" s="348"/>
      <c r="J43" s="348"/>
      <c r="K43" s="348"/>
      <c r="L43" s="86"/>
      <c r="M43" s="86"/>
      <c r="N43" s="88"/>
      <c r="O43" s="349"/>
      <c r="P43" s="349"/>
      <c r="Q43" s="55"/>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13"/>
    </row>
    <row r="44" spans="1:45" s="90" customFormat="1" ht="12" customHeight="1" x14ac:dyDescent="0.15">
      <c r="A44" s="372" t="s">
        <v>612</v>
      </c>
      <c r="B44" s="51"/>
      <c r="C44" s="51"/>
      <c r="D44" s="51"/>
      <c r="E44" s="51"/>
      <c r="F44" s="85"/>
      <c r="G44" s="86"/>
      <c r="H44" s="348"/>
      <c r="I44" s="348"/>
      <c r="J44" s="348"/>
      <c r="K44" s="348"/>
      <c r="L44" s="86"/>
      <c r="M44" s="86"/>
      <c r="N44" s="88"/>
      <c r="O44" s="349"/>
      <c r="P44" s="349"/>
      <c r="Q44" s="55"/>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13"/>
    </row>
    <row r="45" spans="1:45" s="90" customFormat="1" ht="12" customHeight="1" x14ac:dyDescent="0.15">
      <c r="A45" s="51" t="s">
        <v>3308</v>
      </c>
      <c r="B45" s="51"/>
      <c r="C45" s="51" t="s">
        <v>3548</v>
      </c>
      <c r="D45" s="51" t="s">
        <v>50</v>
      </c>
      <c r="E45" s="51"/>
      <c r="F45" s="85"/>
      <c r="G45" s="86"/>
      <c r="H45" s="348"/>
      <c r="I45" s="348"/>
      <c r="J45" s="348"/>
      <c r="K45" s="348"/>
      <c r="L45" s="86"/>
      <c r="M45" s="86"/>
      <c r="N45" s="88"/>
      <c r="O45" s="349"/>
      <c r="P45" s="349"/>
      <c r="Q45" s="55"/>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13"/>
    </row>
    <row r="46" spans="1:45" s="90" customFormat="1" ht="12" customHeight="1" x14ac:dyDescent="0.15">
      <c r="A46" s="51" t="s">
        <v>3308</v>
      </c>
      <c r="B46" s="51"/>
      <c r="C46" s="51" t="s">
        <v>3549</v>
      </c>
      <c r="D46" s="51" t="s">
        <v>904</v>
      </c>
      <c r="E46" s="51"/>
      <c r="F46" s="85"/>
      <c r="G46" s="86"/>
      <c r="H46" s="348"/>
      <c r="I46" s="348"/>
      <c r="J46" s="348"/>
      <c r="K46" s="348"/>
      <c r="L46" s="86"/>
      <c r="M46" s="86"/>
      <c r="N46" s="88"/>
      <c r="O46" s="349"/>
      <c r="P46" s="349"/>
      <c r="Q46" s="55"/>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13"/>
    </row>
    <row r="47" spans="1:45" s="90" customFormat="1" ht="12" customHeight="1" x14ac:dyDescent="0.15">
      <c r="A47" s="51" t="s">
        <v>3308</v>
      </c>
      <c r="B47" s="51"/>
      <c r="C47" s="51" t="s">
        <v>846</v>
      </c>
      <c r="D47" s="51" t="s">
        <v>927</v>
      </c>
      <c r="E47" s="51"/>
      <c r="F47" s="85"/>
      <c r="G47" s="86"/>
      <c r="H47" s="348"/>
      <c r="I47" s="348"/>
      <c r="J47" s="348"/>
      <c r="K47" s="348"/>
      <c r="L47" s="86"/>
      <c r="M47" s="86"/>
      <c r="N47" s="88"/>
      <c r="O47" s="349"/>
      <c r="P47" s="349"/>
      <c r="Q47" s="55"/>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13"/>
    </row>
    <row r="48" spans="1:45" s="90" customFormat="1" ht="12" customHeight="1" x14ac:dyDescent="0.15">
      <c r="A48" s="51" t="s">
        <v>3308</v>
      </c>
      <c r="B48" s="51"/>
      <c r="C48" s="51" t="s">
        <v>3580</v>
      </c>
      <c r="D48" s="51" t="s">
        <v>3818</v>
      </c>
      <c r="E48" s="51"/>
      <c r="F48" s="85"/>
      <c r="G48" s="86"/>
      <c r="H48" s="348"/>
      <c r="I48" s="348"/>
      <c r="J48" s="348"/>
      <c r="K48" s="348"/>
      <c r="L48" s="86"/>
      <c r="M48" s="86"/>
      <c r="N48" s="88"/>
      <c r="O48" s="349"/>
      <c r="P48" s="349"/>
      <c r="Q48" s="55"/>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13"/>
    </row>
    <row r="49" spans="1:47" s="90" customFormat="1" ht="12" customHeight="1" x14ac:dyDescent="0.15">
      <c r="A49" s="51" t="s">
        <v>3513</v>
      </c>
      <c r="B49" s="51"/>
      <c r="C49" s="51" t="s">
        <v>3581</v>
      </c>
      <c r="D49" s="51" t="s">
        <v>2097</v>
      </c>
      <c r="E49" s="51"/>
      <c r="F49" s="85"/>
      <c r="G49" s="86"/>
      <c r="H49" s="348"/>
      <c r="I49" s="348"/>
      <c r="J49" s="348"/>
      <c r="K49" s="348"/>
      <c r="L49" s="86"/>
      <c r="M49" s="86"/>
      <c r="N49" s="88"/>
      <c r="O49" s="349"/>
      <c r="P49" s="349"/>
      <c r="Q49" s="55"/>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13"/>
    </row>
    <row r="50" spans="1:47" s="90" customFormat="1" ht="12" customHeight="1" x14ac:dyDescent="0.15">
      <c r="A50" s="51" t="s">
        <v>3513</v>
      </c>
      <c r="B50" s="51"/>
      <c r="C50" s="51" t="s">
        <v>3582</v>
      </c>
      <c r="D50" s="51" t="s">
        <v>3819</v>
      </c>
      <c r="E50" s="51"/>
      <c r="F50" s="85"/>
      <c r="G50" s="86"/>
      <c r="H50" s="348"/>
      <c r="I50" s="348"/>
      <c r="J50" s="348"/>
      <c r="K50" s="348"/>
      <c r="L50" s="86"/>
      <c r="M50" s="86"/>
      <c r="N50" s="88"/>
      <c r="O50" s="349"/>
      <c r="P50" s="349"/>
      <c r="Q50" s="55"/>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13"/>
    </row>
    <row r="51" spans="1:47" s="90" customFormat="1" ht="12" customHeight="1" x14ac:dyDescent="0.15">
      <c r="A51" s="51"/>
      <c r="B51" s="51"/>
      <c r="C51" s="51" t="s">
        <v>4470</v>
      </c>
      <c r="D51" s="51" t="s">
        <v>4483</v>
      </c>
      <c r="E51" s="51" t="s">
        <v>1289</v>
      </c>
      <c r="F51" s="85"/>
      <c r="G51" s="86"/>
      <c r="H51" s="348"/>
      <c r="I51" s="348"/>
      <c r="J51" s="348"/>
      <c r="K51" s="348"/>
      <c r="L51" s="86"/>
      <c r="M51" s="86"/>
      <c r="N51" s="88"/>
      <c r="O51" s="349"/>
      <c r="P51" s="349"/>
      <c r="Q51" s="55"/>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13"/>
    </row>
    <row r="52" spans="1:47" s="90" customFormat="1" ht="12" customHeight="1" x14ac:dyDescent="0.15">
      <c r="A52" s="51" t="s">
        <v>3308</v>
      </c>
      <c r="B52" s="51"/>
      <c r="C52" s="51" t="s">
        <v>3583</v>
      </c>
      <c r="D52" s="51" t="s">
        <v>107</v>
      </c>
      <c r="E52" s="51"/>
      <c r="F52" s="85"/>
      <c r="G52" s="86"/>
      <c r="H52" s="348"/>
      <c r="I52" s="348"/>
      <c r="J52" s="348"/>
      <c r="K52" s="348"/>
      <c r="L52" s="86"/>
      <c r="M52" s="86"/>
      <c r="N52" s="88"/>
      <c r="O52" s="349"/>
      <c r="P52" s="349"/>
      <c r="Q52" s="55"/>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13"/>
    </row>
    <row r="53" spans="1:47" s="90" customFormat="1" ht="12" customHeight="1" x14ac:dyDescent="0.15">
      <c r="A53" s="51" t="s">
        <v>3513</v>
      </c>
      <c r="B53" s="51"/>
      <c r="C53" s="51" t="s">
        <v>949</v>
      </c>
      <c r="D53" s="51" t="s">
        <v>459</v>
      </c>
      <c r="E53" s="51"/>
      <c r="F53" s="85"/>
      <c r="G53" s="86"/>
      <c r="H53" s="348"/>
      <c r="I53" s="348"/>
      <c r="J53" s="348"/>
      <c r="K53" s="348"/>
      <c r="L53" s="86"/>
      <c r="M53" s="86"/>
      <c r="N53" s="88"/>
      <c r="O53" s="349"/>
      <c r="P53" s="349"/>
      <c r="Q53" s="55"/>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13"/>
    </row>
    <row r="54" spans="1:47" s="90" customFormat="1" ht="12" customHeight="1" x14ac:dyDescent="0.15">
      <c r="A54" s="51" t="s">
        <v>3308</v>
      </c>
      <c r="B54" s="51"/>
      <c r="C54" s="51" t="s">
        <v>3543</v>
      </c>
      <c r="D54" s="51" t="s">
        <v>3820</v>
      </c>
      <c r="E54" s="51"/>
      <c r="F54" s="85"/>
      <c r="G54" s="86"/>
      <c r="H54" s="348"/>
      <c r="I54" s="348"/>
      <c r="J54" s="348"/>
      <c r="K54" s="348"/>
      <c r="L54" s="86"/>
      <c r="M54" s="86"/>
      <c r="N54" s="88"/>
      <c r="O54" s="349"/>
      <c r="P54" s="349"/>
      <c r="Q54" s="55"/>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13"/>
    </row>
    <row r="55" spans="1:47" s="90" customFormat="1" ht="12" customHeight="1" x14ac:dyDescent="0.15">
      <c r="A55" s="51"/>
      <c r="B55" s="51"/>
      <c r="C55" s="51" t="s">
        <v>3573</v>
      </c>
      <c r="D55" s="51"/>
      <c r="E55" s="51"/>
      <c r="F55" s="85"/>
      <c r="G55" s="86"/>
      <c r="H55" s="348"/>
      <c r="I55" s="348"/>
      <c r="J55" s="348"/>
      <c r="K55" s="348"/>
      <c r="L55" s="86"/>
      <c r="M55" s="86"/>
      <c r="N55" s="88"/>
      <c r="O55" s="349"/>
      <c r="P55" s="349" t="s">
        <v>3816</v>
      </c>
      <c r="Q55" s="55"/>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13"/>
    </row>
    <row r="56" spans="1:47" s="90" customFormat="1" ht="12" customHeight="1" x14ac:dyDescent="0.15">
      <c r="A56" s="51" t="s">
        <v>3308</v>
      </c>
      <c r="B56" s="51"/>
      <c r="C56" s="51" t="s">
        <v>3584</v>
      </c>
      <c r="D56" s="51" t="s">
        <v>3817</v>
      </c>
      <c r="E56" s="51"/>
      <c r="F56" s="85"/>
      <c r="G56" s="86"/>
      <c r="H56" s="348"/>
      <c r="I56" s="348"/>
      <c r="J56" s="348"/>
      <c r="K56" s="348"/>
      <c r="L56" s="86"/>
      <c r="M56" s="86"/>
      <c r="N56" s="88"/>
      <c r="O56" s="349"/>
      <c r="P56" s="349"/>
      <c r="Q56" s="55"/>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13"/>
    </row>
    <row r="57" spans="1:47" s="90" customFormat="1" ht="12" customHeight="1" x14ac:dyDescent="0.15">
      <c r="A57" s="51"/>
      <c r="B57" s="51"/>
      <c r="C57" s="51"/>
      <c r="D57" s="51"/>
      <c r="E57" s="51"/>
      <c r="F57" s="85"/>
      <c r="G57" s="86"/>
      <c r="H57" s="348"/>
      <c r="I57" s="348"/>
      <c r="J57" s="348"/>
      <c r="K57" s="348"/>
      <c r="L57" s="86"/>
      <c r="M57" s="86"/>
      <c r="N57" s="88"/>
      <c r="O57" s="349"/>
      <c r="P57" s="349"/>
      <c r="Q57" s="55"/>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13"/>
    </row>
    <row r="58" spans="1:47" s="90" customFormat="1" ht="12" customHeight="1" x14ac:dyDescent="0.15">
      <c r="A58" s="51"/>
      <c r="B58" s="51"/>
      <c r="C58" s="51"/>
      <c r="D58" s="51"/>
      <c r="E58" s="51"/>
      <c r="F58" s="85"/>
      <c r="G58" s="86"/>
      <c r="H58" s="348"/>
      <c r="I58" s="348"/>
      <c r="J58" s="348"/>
      <c r="K58" s="348"/>
      <c r="L58" s="86"/>
      <c r="M58" s="86"/>
      <c r="N58" s="88"/>
      <c r="O58" s="349"/>
      <c r="P58" s="349"/>
      <c r="Q58" s="55"/>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13"/>
    </row>
    <row r="59" spans="1:47" s="90" customFormat="1" ht="12" customHeight="1" x14ac:dyDescent="0.15">
      <c r="A59" s="130"/>
      <c r="B59" s="70"/>
      <c r="C59" s="70"/>
      <c r="D59" s="110" t="s">
        <v>3641</v>
      </c>
      <c r="E59" s="70"/>
      <c r="F59" s="91"/>
      <c r="G59" s="92"/>
      <c r="H59" s="93"/>
      <c r="I59" s="93"/>
      <c r="J59" s="93"/>
      <c r="K59" s="93"/>
      <c r="L59" s="92"/>
      <c r="M59" s="120"/>
      <c r="N59" s="120"/>
      <c r="O59" s="120"/>
      <c r="P59" s="94"/>
      <c r="Q59" s="95"/>
      <c r="R59" s="95"/>
      <c r="S59" s="67"/>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13"/>
    </row>
    <row r="60" spans="1:47" s="90" customFormat="1" ht="12" customHeight="1" x14ac:dyDescent="0.15">
      <c r="A60" s="51"/>
      <c r="B60" s="51"/>
      <c r="C60" s="51"/>
      <c r="D60" s="51"/>
      <c r="E60" s="51"/>
      <c r="F60" s="85"/>
      <c r="G60" s="86"/>
      <c r="H60" s="348"/>
      <c r="I60" s="348"/>
      <c r="J60" s="348"/>
      <c r="K60" s="348"/>
      <c r="L60" s="86"/>
      <c r="M60" s="86"/>
      <c r="N60" s="88"/>
      <c r="O60" s="349"/>
      <c r="P60" s="349"/>
      <c r="Q60" s="55"/>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13"/>
    </row>
    <row r="61" spans="1:47" s="90" customFormat="1" ht="12" customHeight="1" x14ac:dyDescent="0.15">
      <c r="A61" s="51"/>
      <c r="B61" s="51"/>
      <c r="C61" s="51"/>
      <c r="D61" s="51"/>
      <c r="E61" s="51"/>
      <c r="F61" s="85"/>
      <c r="G61" s="86"/>
      <c r="H61" s="348"/>
      <c r="I61" s="348"/>
      <c r="J61" s="348"/>
      <c r="K61" s="348"/>
      <c r="L61" s="86"/>
      <c r="M61" s="86"/>
      <c r="N61" s="88"/>
      <c r="O61" s="349"/>
      <c r="P61" s="349"/>
      <c r="Q61" s="55"/>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13"/>
    </row>
    <row r="62" spans="1:47" s="90" customFormat="1" ht="12" customHeight="1" x14ac:dyDescent="0.15">
      <c r="A62" s="51"/>
      <c r="B62" s="51"/>
      <c r="C62" s="51"/>
      <c r="D62" s="51"/>
      <c r="E62" s="51"/>
      <c r="F62" s="85"/>
      <c r="G62" s="86"/>
      <c r="H62" s="348"/>
      <c r="I62" s="348"/>
      <c r="J62" s="348"/>
      <c r="K62" s="348"/>
      <c r="L62" s="86"/>
      <c r="M62" s="86"/>
      <c r="N62" s="88"/>
      <c r="O62" s="349"/>
      <c r="P62" s="349"/>
      <c r="Q62" s="55"/>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13"/>
    </row>
    <row r="63" spans="1:47" s="90" customFormat="1" ht="12" customHeight="1" x14ac:dyDescent="0.15">
      <c r="A63" s="51"/>
      <c r="B63" s="51"/>
      <c r="C63" s="51"/>
      <c r="D63" s="51"/>
      <c r="E63" s="51"/>
      <c r="F63" s="85"/>
      <c r="G63" s="86"/>
      <c r="H63" s="348"/>
      <c r="I63" s="348"/>
      <c r="J63" s="348"/>
      <c r="K63" s="348"/>
      <c r="L63" s="86"/>
      <c r="M63" s="86"/>
      <c r="N63" s="88"/>
      <c r="O63" s="349"/>
      <c r="P63" s="349"/>
      <c r="Q63" s="55"/>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13"/>
    </row>
    <row r="64" spans="1:47" s="90" customFormat="1" ht="12" customHeight="1" x14ac:dyDescent="0.15">
      <c r="A64" s="51"/>
      <c r="B64" s="51"/>
      <c r="C64" s="51"/>
      <c r="D64" s="51"/>
      <c r="E64" s="51"/>
      <c r="F64" s="85"/>
      <c r="G64" s="86"/>
      <c r="H64" s="348"/>
      <c r="I64" s="348"/>
      <c r="J64" s="348"/>
      <c r="K64" s="348"/>
      <c r="L64" s="86"/>
      <c r="M64" s="86"/>
      <c r="N64" s="88"/>
      <c r="O64" s="349"/>
      <c r="P64" s="349"/>
      <c r="Q64" s="55"/>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13"/>
    </row>
    <row r="65" spans="1:56" s="90" customFormat="1" ht="12" customHeight="1" x14ac:dyDescent="0.15">
      <c r="A65" s="51"/>
      <c r="B65" s="51"/>
      <c r="C65" s="51"/>
      <c r="D65" s="51"/>
      <c r="E65" s="51"/>
      <c r="F65" s="85"/>
      <c r="G65" s="86"/>
      <c r="H65" s="348"/>
      <c r="I65" s="348"/>
      <c r="J65" s="348"/>
      <c r="K65" s="348"/>
      <c r="L65" s="86"/>
      <c r="M65" s="86"/>
      <c r="N65" s="88"/>
      <c r="O65" s="349"/>
      <c r="P65" s="349"/>
      <c r="Q65" s="55"/>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13"/>
    </row>
    <row r="66" spans="1:56" s="90" customFormat="1" ht="12" customHeight="1" x14ac:dyDescent="0.15">
      <c r="A66" s="51"/>
      <c r="B66" s="51"/>
      <c r="C66" s="51"/>
      <c r="D66" s="51"/>
      <c r="E66" s="51"/>
      <c r="F66" s="85"/>
      <c r="G66" s="86"/>
      <c r="H66" s="348"/>
      <c r="I66" s="348"/>
      <c r="J66" s="348"/>
      <c r="K66" s="348"/>
      <c r="L66" s="86"/>
      <c r="M66" s="86"/>
      <c r="N66" s="88"/>
      <c r="O66" s="349"/>
      <c r="P66" s="349"/>
      <c r="Q66" s="55"/>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13"/>
    </row>
    <row r="67" spans="1:56" s="90" customFormat="1" ht="12" customHeight="1" x14ac:dyDescent="0.15">
      <c r="A67" s="51"/>
      <c r="B67" s="51"/>
      <c r="C67" s="51"/>
      <c r="D67" s="51"/>
      <c r="E67" s="51"/>
      <c r="F67" s="85"/>
      <c r="G67" s="86"/>
      <c r="H67" s="348"/>
      <c r="I67" s="348"/>
      <c r="J67" s="348"/>
      <c r="K67" s="348"/>
      <c r="L67" s="86"/>
      <c r="M67" s="86"/>
      <c r="N67" s="88"/>
      <c r="O67" s="349"/>
      <c r="P67" s="349"/>
      <c r="Q67" s="55"/>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13"/>
    </row>
    <row r="68" spans="1:56" s="90" customFormat="1" ht="12" customHeight="1" x14ac:dyDescent="0.15">
      <c r="A68" s="51"/>
      <c r="B68" s="51"/>
      <c r="C68" s="51"/>
      <c r="D68" s="51"/>
      <c r="E68" s="51"/>
      <c r="F68" s="85"/>
      <c r="G68" s="86"/>
      <c r="H68" s="348"/>
      <c r="I68" s="348"/>
      <c r="J68" s="348"/>
      <c r="K68" s="348"/>
      <c r="L68" s="86"/>
      <c r="M68" s="86"/>
      <c r="N68" s="88"/>
      <c r="O68" s="349"/>
      <c r="P68" s="349"/>
      <c r="Q68" s="55"/>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13"/>
    </row>
    <row r="69" spans="1:56" s="90" customFormat="1" ht="12" customHeight="1" x14ac:dyDescent="0.15">
      <c r="A69" s="51"/>
      <c r="B69" s="51"/>
      <c r="C69" s="51"/>
      <c r="D69" s="51"/>
      <c r="E69" s="51"/>
      <c r="F69" s="85"/>
      <c r="G69" s="86"/>
      <c r="H69" s="348"/>
      <c r="I69" s="348"/>
      <c r="J69" s="348"/>
      <c r="K69" s="348"/>
      <c r="L69" s="86"/>
      <c r="M69" s="86"/>
      <c r="N69" s="88"/>
      <c r="O69" s="349"/>
      <c r="P69" s="349"/>
      <c r="Q69" s="55"/>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13"/>
    </row>
    <row r="70" spans="1:56" s="90" customFormat="1" ht="12" customHeight="1" x14ac:dyDescent="0.15">
      <c r="A70" s="51"/>
      <c r="B70" s="51"/>
      <c r="C70" s="51"/>
      <c r="D70" s="51"/>
      <c r="E70" s="51"/>
      <c r="F70" s="85"/>
      <c r="G70" s="86"/>
      <c r="H70" s="348"/>
      <c r="I70" s="348"/>
      <c r="J70" s="348"/>
      <c r="K70" s="348"/>
      <c r="L70" s="86"/>
      <c r="M70" s="86"/>
      <c r="N70" s="88"/>
      <c r="O70" s="349"/>
      <c r="P70" s="349"/>
      <c r="Q70" s="55"/>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13"/>
    </row>
    <row r="71" spans="1:56" s="90" customFormat="1" ht="12" customHeight="1" x14ac:dyDescent="0.15">
      <c r="A71" s="51"/>
      <c r="B71" s="51"/>
      <c r="C71" s="51"/>
      <c r="D71" s="51"/>
      <c r="E71" s="51"/>
      <c r="F71" s="85"/>
      <c r="G71" s="86"/>
      <c r="H71" s="348"/>
      <c r="I71" s="348"/>
      <c r="J71" s="348"/>
      <c r="K71" s="348"/>
      <c r="L71" s="86"/>
      <c r="M71" s="86"/>
      <c r="N71" s="88"/>
      <c r="O71" s="349"/>
      <c r="P71" s="349"/>
      <c r="Q71" s="55"/>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13"/>
    </row>
    <row r="72" spans="1:56" s="90" customFormat="1" ht="12" customHeight="1" x14ac:dyDescent="0.15">
      <c r="A72" s="51"/>
      <c r="B72" s="51"/>
      <c r="C72" s="51"/>
      <c r="D72" s="51"/>
      <c r="E72" s="51"/>
      <c r="F72" s="85"/>
      <c r="G72" s="86"/>
      <c r="H72" s="348"/>
      <c r="I72" s="348"/>
      <c r="J72" s="348"/>
      <c r="K72" s="348"/>
      <c r="L72" s="86"/>
      <c r="M72" s="86"/>
      <c r="N72" s="88"/>
      <c r="O72" s="349"/>
      <c r="P72" s="349"/>
      <c r="Q72" s="55"/>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13"/>
    </row>
    <row r="73" spans="1:56" s="90" customFormat="1" ht="12" customHeight="1" x14ac:dyDescent="0.15">
      <c r="A73" s="51"/>
      <c r="B73" s="51"/>
      <c r="C73" s="51"/>
      <c r="D73" s="51"/>
      <c r="E73" s="51"/>
      <c r="F73" s="85"/>
      <c r="G73" s="86"/>
      <c r="H73" s="348"/>
      <c r="I73" s="348"/>
      <c r="J73" s="348"/>
      <c r="K73" s="348"/>
      <c r="L73" s="86"/>
      <c r="M73" s="86"/>
      <c r="N73" s="88"/>
      <c r="O73" s="349"/>
      <c r="P73" s="349"/>
      <c r="Q73" s="55"/>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13"/>
    </row>
    <row r="74" spans="1:56" s="90" customFormat="1" ht="12" customHeight="1" x14ac:dyDescent="0.15">
      <c r="A74" s="51"/>
      <c r="B74" s="51"/>
      <c r="C74" s="51"/>
      <c r="D74" s="51"/>
      <c r="E74" s="51"/>
      <c r="F74" s="85"/>
      <c r="G74" s="86"/>
      <c r="H74" s="348"/>
      <c r="I74" s="348"/>
      <c r="J74" s="348"/>
      <c r="K74" s="348"/>
      <c r="L74" s="86"/>
      <c r="M74" s="86"/>
      <c r="N74" s="88"/>
      <c r="O74" s="349"/>
      <c r="P74" s="349"/>
      <c r="Q74" s="55"/>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13"/>
    </row>
    <row r="75" spans="1:56" s="14" customFormat="1" x14ac:dyDescent="0.15">
      <c r="A75" s="6"/>
      <c r="B75" s="6"/>
      <c r="C75" s="6"/>
      <c r="D75" s="6"/>
      <c r="E75" s="6"/>
      <c r="F75" s="101"/>
      <c r="G75" s="102"/>
      <c r="H75" s="103"/>
      <c r="I75" s="103"/>
      <c r="J75" s="103"/>
      <c r="K75" s="103"/>
      <c r="L75" s="21"/>
      <c r="M75" s="21"/>
      <c r="N75" s="75"/>
      <c r="O75" s="75"/>
      <c r="P75" s="6"/>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row>
    <row r="76" spans="1:56" s="14" customFormat="1" x14ac:dyDescent="0.15">
      <c r="A76" s="6"/>
      <c r="B76" s="6"/>
      <c r="C76" s="6"/>
      <c r="D76" s="6"/>
      <c r="E76" s="6"/>
      <c r="F76" s="101"/>
      <c r="G76" s="102"/>
      <c r="H76" s="104"/>
      <c r="I76" s="104"/>
      <c r="J76" s="104"/>
      <c r="K76" s="104"/>
      <c r="L76" s="21"/>
      <c r="M76" s="21"/>
      <c r="N76" s="75"/>
      <c r="O76" s="75"/>
      <c r="P76" s="6"/>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row>
    <row r="77" spans="1:56" s="14" customFormat="1" x14ac:dyDescent="0.15">
      <c r="A77" s="6"/>
      <c r="B77" s="6"/>
      <c r="C77" s="6"/>
      <c r="D77" s="6"/>
      <c r="E77" s="6"/>
      <c r="F77" s="101"/>
      <c r="G77" s="102"/>
      <c r="H77" s="104"/>
      <c r="I77" s="104"/>
      <c r="J77" s="104"/>
      <c r="K77" s="104"/>
      <c r="L77" s="21"/>
      <c r="M77" s="21"/>
      <c r="N77" s="75"/>
      <c r="O77" s="75"/>
      <c r="P77" s="6"/>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row>
    <row r="78" spans="1:56" s="14" customFormat="1" x14ac:dyDescent="0.15">
      <c r="A78" s="6"/>
      <c r="B78" s="6"/>
      <c r="C78" s="6"/>
      <c r="D78" s="6"/>
      <c r="E78" s="6"/>
      <c r="F78" s="101"/>
      <c r="G78" s="102"/>
      <c r="H78" s="104"/>
      <c r="I78" s="104"/>
      <c r="J78" s="104"/>
      <c r="K78" s="104"/>
      <c r="L78" s="21"/>
      <c r="M78" s="21"/>
      <c r="N78" s="75"/>
      <c r="O78" s="75"/>
      <c r="P78" s="6"/>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row>
    <row r="79" spans="1:56" s="14" customFormat="1" x14ac:dyDescent="0.15">
      <c r="A79" s="6"/>
      <c r="B79" s="6"/>
      <c r="C79" s="6"/>
      <c r="D79" s="6"/>
      <c r="E79" s="6"/>
      <c r="F79" s="101"/>
      <c r="G79" s="102"/>
      <c r="H79" s="104"/>
      <c r="I79" s="104"/>
      <c r="J79" s="104"/>
      <c r="K79" s="104"/>
      <c r="L79" s="21"/>
      <c r="M79" s="21"/>
      <c r="N79" s="75"/>
      <c r="O79" s="75"/>
      <c r="P79" s="6"/>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row>
    <row r="80" spans="1:56" s="14" customFormat="1" x14ac:dyDescent="0.15">
      <c r="A80" s="6"/>
      <c r="B80" s="6"/>
      <c r="C80" s="6"/>
      <c r="D80" s="6"/>
      <c r="E80" s="6"/>
      <c r="F80" s="101"/>
      <c r="G80" s="102"/>
      <c r="H80" s="104"/>
      <c r="I80" s="104"/>
      <c r="J80" s="104"/>
      <c r="K80" s="104"/>
      <c r="L80" s="21"/>
      <c r="M80" s="21"/>
      <c r="N80" s="75"/>
      <c r="O80" s="75"/>
      <c r="P80" s="6"/>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row>
    <row r="81" spans="1:56" s="14" customFormat="1" x14ac:dyDescent="0.15">
      <c r="A81" s="6"/>
      <c r="B81" s="6"/>
      <c r="C81" s="6"/>
      <c r="D81" s="6"/>
      <c r="E81" s="6"/>
      <c r="F81" s="101"/>
      <c r="G81" s="102"/>
      <c r="H81" s="104"/>
      <c r="I81" s="104"/>
      <c r="J81" s="104"/>
      <c r="K81" s="104"/>
      <c r="L81" s="21"/>
      <c r="M81" s="21"/>
      <c r="N81" s="75"/>
      <c r="O81" s="75"/>
      <c r="P81" s="6"/>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row>
    <row r="82" spans="1:56" s="14" customFormat="1" x14ac:dyDescent="0.15">
      <c r="A82" s="6"/>
      <c r="B82" s="6"/>
      <c r="C82" s="6"/>
      <c r="D82" s="6"/>
      <c r="E82" s="6"/>
      <c r="F82" s="101"/>
      <c r="G82" s="102"/>
      <c r="H82" s="104"/>
      <c r="I82" s="104"/>
      <c r="J82" s="104"/>
      <c r="K82" s="104"/>
      <c r="L82" s="21"/>
      <c r="M82" s="21"/>
      <c r="N82" s="75"/>
      <c r="O82" s="75"/>
      <c r="P82" s="6"/>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row>
    <row r="83" spans="1:56" s="14" customFormat="1" x14ac:dyDescent="0.15">
      <c r="A83" s="6"/>
      <c r="B83" s="6"/>
      <c r="C83" s="6"/>
      <c r="D83" s="6"/>
      <c r="E83" s="6"/>
      <c r="F83" s="101"/>
      <c r="G83" s="102"/>
      <c r="H83" s="103"/>
      <c r="I83" s="103"/>
      <c r="J83" s="103"/>
      <c r="K83" s="103"/>
      <c r="L83" s="21"/>
      <c r="M83" s="21"/>
      <c r="N83" s="75"/>
      <c r="O83" s="75"/>
      <c r="P83" s="75"/>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row>
    <row r="84" spans="1:56" s="14" customFormat="1" x14ac:dyDescent="0.15">
      <c r="A84" s="6"/>
      <c r="B84" s="6"/>
      <c r="C84" s="6"/>
      <c r="D84" s="6"/>
      <c r="E84" s="6"/>
      <c r="F84" s="101"/>
      <c r="G84" s="102"/>
      <c r="H84" s="103"/>
      <c r="I84" s="103"/>
      <c r="J84" s="103"/>
      <c r="K84" s="103"/>
      <c r="L84" s="21"/>
      <c r="M84" s="21"/>
      <c r="N84" s="75"/>
      <c r="O84" s="75"/>
      <c r="P84" s="6"/>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row>
    <row r="85" spans="1:56" s="14" customFormat="1" x14ac:dyDescent="0.15">
      <c r="A85" s="6"/>
      <c r="B85" s="6"/>
      <c r="C85" s="6"/>
      <c r="D85" s="6"/>
      <c r="E85" s="6"/>
      <c r="F85" s="101"/>
      <c r="G85" s="102"/>
      <c r="H85" s="103"/>
      <c r="I85" s="103"/>
      <c r="J85" s="103"/>
      <c r="K85" s="103"/>
      <c r="L85" s="21"/>
      <c r="M85" s="21"/>
      <c r="N85" s="75"/>
      <c r="O85" s="75"/>
      <c r="P85" s="6"/>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row>
    <row r="86" spans="1:56" s="14" customFormat="1" x14ac:dyDescent="0.15">
      <c r="A86" s="6"/>
      <c r="B86" s="6"/>
      <c r="C86" s="6"/>
      <c r="D86" s="6"/>
      <c r="E86" s="6"/>
      <c r="F86" s="101"/>
      <c r="G86" s="102"/>
      <c r="H86" s="6"/>
      <c r="I86" s="6"/>
      <c r="J86" s="6"/>
      <c r="K86" s="6"/>
      <c r="L86" s="21"/>
      <c r="M86" s="21"/>
      <c r="N86" s="75"/>
      <c r="O86" s="75"/>
      <c r="P86" s="6"/>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row>
    <row r="87" spans="1:56" s="14" customFormat="1" x14ac:dyDescent="0.15">
      <c r="A87" s="6"/>
      <c r="B87" s="6"/>
      <c r="C87" s="6"/>
      <c r="D87" s="6"/>
      <c r="E87" s="6"/>
      <c r="F87" s="101"/>
      <c r="G87" s="102"/>
      <c r="H87" s="6"/>
      <c r="I87" s="6"/>
      <c r="J87" s="6"/>
      <c r="K87" s="6"/>
      <c r="L87" s="21"/>
      <c r="M87" s="21"/>
      <c r="N87" s="75"/>
      <c r="O87" s="75"/>
      <c r="P87" s="6"/>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row>
    <row r="88" spans="1:56" s="14" customFormat="1" x14ac:dyDescent="0.15">
      <c r="A88" s="6"/>
      <c r="B88" s="6"/>
      <c r="C88" s="6"/>
      <c r="D88" s="6"/>
      <c r="E88" s="6"/>
      <c r="F88" s="101"/>
      <c r="G88" s="102"/>
      <c r="H88" s="6"/>
      <c r="I88" s="6"/>
      <c r="J88" s="6"/>
      <c r="K88" s="6"/>
      <c r="L88" s="21"/>
      <c r="M88" s="21"/>
      <c r="N88" s="75"/>
      <c r="O88" s="75"/>
      <c r="P88" s="6"/>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row>
    <row r="89" spans="1:56" s="14" customFormat="1" x14ac:dyDescent="0.15">
      <c r="A89" s="6"/>
      <c r="B89" s="6"/>
      <c r="C89" s="6"/>
      <c r="D89" s="6"/>
      <c r="E89" s="6"/>
      <c r="F89" s="101"/>
      <c r="G89" s="102"/>
      <c r="H89" s="6"/>
      <c r="I89" s="6"/>
      <c r="J89" s="6"/>
      <c r="K89" s="6"/>
      <c r="L89" s="21"/>
      <c r="M89" s="21"/>
      <c r="N89" s="75"/>
      <c r="O89" s="75"/>
      <c r="P89" s="6"/>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row>
    <row r="90" spans="1:56" s="14" customFormat="1" x14ac:dyDescent="0.15">
      <c r="A90" s="6"/>
      <c r="B90" s="6"/>
      <c r="C90" s="6"/>
      <c r="D90" s="6"/>
      <c r="E90" s="6"/>
      <c r="F90" s="101"/>
      <c r="G90" s="102"/>
      <c r="H90" s="6"/>
      <c r="I90" s="6"/>
      <c r="J90" s="6"/>
      <c r="K90" s="6"/>
      <c r="L90" s="21"/>
      <c r="M90" s="21"/>
      <c r="N90" s="75"/>
      <c r="O90" s="75"/>
      <c r="P90" s="6"/>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row>
    <row r="91" spans="1:56" s="14" customFormat="1" x14ac:dyDescent="0.15">
      <c r="A91" s="6"/>
      <c r="B91" s="6"/>
      <c r="C91" s="6"/>
      <c r="D91" s="6"/>
      <c r="E91" s="6"/>
      <c r="F91" s="101"/>
      <c r="G91" s="102"/>
      <c r="H91" s="6"/>
      <c r="I91" s="6"/>
      <c r="J91" s="6"/>
      <c r="K91" s="6"/>
      <c r="L91" s="21"/>
      <c r="M91" s="21"/>
      <c r="N91" s="75"/>
      <c r="O91" s="75"/>
      <c r="P91" s="6"/>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row>
    <row r="92" spans="1:56" x14ac:dyDescent="0.15">
      <c r="F92" s="105"/>
      <c r="G92" s="106"/>
      <c r="H92" s="6"/>
      <c r="I92" s="6"/>
      <c r="J92" s="6"/>
      <c r="K92" s="6"/>
    </row>
    <row r="93" spans="1:56" x14ac:dyDescent="0.15">
      <c r="H93" s="6"/>
      <c r="I93" s="6"/>
      <c r="J93" s="6"/>
      <c r="K93" s="6"/>
    </row>
    <row r="94" spans="1:56" x14ac:dyDescent="0.15">
      <c r="H94" s="6"/>
      <c r="I94" s="6"/>
      <c r="J94" s="6"/>
      <c r="K94" s="6"/>
    </row>
    <row r="95" spans="1:56" x14ac:dyDescent="0.15">
      <c r="H95" s="6"/>
      <c r="I95" s="6"/>
      <c r="J95" s="6"/>
      <c r="K95" s="6"/>
    </row>
    <row r="99" spans="1:56" x14ac:dyDescent="0.15">
      <c r="F99" s="107"/>
      <c r="G99" s="108"/>
    </row>
    <row r="101" spans="1:56" x14ac:dyDescent="0.15">
      <c r="P101" s="75"/>
    </row>
    <row r="105" spans="1:56" x14ac:dyDescent="0.15">
      <c r="F105" s="109"/>
      <c r="G105" s="34"/>
    </row>
    <row r="106" spans="1:56" x14ac:dyDescent="0.15">
      <c r="F106" s="109"/>
      <c r="G106" s="34"/>
    </row>
    <row r="107" spans="1:56" s="112" customFormat="1" x14ac:dyDescent="0.15">
      <c r="A107" s="110" t="s">
        <v>612</v>
      </c>
      <c r="B107" s="110"/>
      <c r="C107" s="110"/>
      <c r="D107" s="110"/>
      <c r="E107" s="110"/>
      <c r="F107" s="109"/>
      <c r="G107" s="34"/>
      <c r="H107" s="75"/>
      <c r="I107" s="75"/>
      <c r="J107" s="75"/>
      <c r="K107" s="75"/>
      <c r="L107" s="21"/>
      <c r="M107" s="21"/>
      <c r="N107" s="75"/>
      <c r="O107" s="75"/>
      <c r="P107" s="110"/>
      <c r="Q107" s="111"/>
      <c r="R107" s="111"/>
    </row>
    <row r="108" spans="1:56" s="21" customFormat="1" x14ac:dyDescent="0.15">
      <c r="A108" s="6"/>
      <c r="B108" s="6"/>
      <c r="C108" s="6"/>
      <c r="D108" s="6"/>
      <c r="E108" s="6"/>
      <c r="F108" s="109"/>
      <c r="G108" s="34"/>
      <c r="H108" s="75"/>
      <c r="I108" s="75"/>
      <c r="J108" s="75"/>
      <c r="K108" s="75"/>
      <c r="N108" s="75"/>
      <c r="O108" s="75"/>
      <c r="P108" s="6"/>
      <c r="Q108" s="14"/>
      <c r="R108" s="14"/>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row>
    <row r="109" spans="1:56" s="21" customFormat="1" x14ac:dyDescent="0.15">
      <c r="A109" s="113"/>
      <c r="B109" s="6"/>
      <c r="C109" s="6"/>
      <c r="D109" s="6"/>
      <c r="E109" s="6"/>
      <c r="F109" s="109"/>
      <c r="G109" s="34"/>
      <c r="H109" s="75"/>
      <c r="I109" s="75"/>
      <c r="J109" s="75"/>
      <c r="K109" s="75"/>
      <c r="N109" s="75"/>
      <c r="O109" s="75"/>
      <c r="P109" s="6"/>
      <c r="Q109" s="14"/>
      <c r="R109" s="14"/>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row>
    <row r="110" spans="1:56" s="21" customFormat="1" x14ac:dyDescent="0.15">
      <c r="A110" s="113"/>
      <c r="B110" s="6"/>
      <c r="C110" s="6"/>
      <c r="D110" s="6"/>
      <c r="E110" s="6"/>
      <c r="F110" s="109"/>
      <c r="G110" s="34"/>
      <c r="H110" s="75"/>
      <c r="I110" s="75"/>
      <c r="J110" s="75"/>
      <c r="K110" s="75"/>
      <c r="N110" s="75"/>
      <c r="O110" s="75"/>
      <c r="P110" s="6"/>
      <c r="Q110" s="14"/>
      <c r="R110" s="14"/>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row>
    <row r="111" spans="1:56" s="21" customFormat="1" x14ac:dyDescent="0.15">
      <c r="A111" s="113"/>
      <c r="B111" s="6"/>
      <c r="C111" s="6"/>
      <c r="D111" s="6"/>
      <c r="E111" s="6"/>
      <c r="F111" s="101"/>
      <c r="G111" s="102"/>
      <c r="H111" s="75"/>
      <c r="I111" s="75"/>
      <c r="J111" s="75"/>
      <c r="K111" s="75"/>
      <c r="N111" s="75"/>
      <c r="O111" s="75"/>
      <c r="P111" s="6"/>
      <c r="Q111" s="14"/>
      <c r="R111" s="14"/>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row>
    <row r="112" spans="1:56" s="21" customFormat="1" x14ac:dyDescent="0.15">
      <c r="A112" s="113"/>
      <c r="B112" s="6"/>
      <c r="C112" s="6"/>
      <c r="D112" s="6"/>
      <c r="E112" s="6"/>
      <c r="F112" s="101"/>
      <c r="G112" s="102"/>
      <c r="H112" s="75"/>
      <c r="I112" s="75"/>
      <c r="J112" s="75"/>
      <c r="K112" s="75"/>
      <c r="N112" s="75"/>
      <c r="O112" s="75"/>
      <c r="P112" s="6"/>
      <c r="Q112" s="14"/>
      <c r="R112" s="14"/>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row>
    <row r="113" spans="1:56" s="21" customFormat="1" x14ac:dyDescent="0.15">
      <c r="A113" s="113"/>
      <c r="B113" s="6"/>
      <c r="C113" s="6"/>
      <c r="D113" s="6"/>
      <c r="E113" s="6"/>
      <c r="F113" s="101"/>
      <c r="G113" s="102"/>
      <c r="H113" s="75"/>
      <c r="I113" s="75"/>
      <c r="J113" s="75"/>
      <c r="K113" s="75"/>
      <c r="N113" s="75"/>
      <c r="O113" s="75"/>
      <c r="P113" s="6"/>
      <c r="Q113" s="14"/>
      <c r="R113" s="14"/>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row>
    <row r="114" spans="1:56" s="21" customFormat="1" x14ac:dyDescent="0.15">
      <c r="A114" s="113"/>
      <c r="B114" s="6"/>
      <c r="C114" s="6"/>
      <c r="D114" s="6"/>
      <c r="E114" s="6"/>
      <c r="F114" s="101"/>
      <c r="G114" s="102"/>
      <c r="H114" s="75"/>
      <c r="I114" s="75"/>
      <c r="J114" s="75"/>
      <c r="K114" s="75"/>
      <c r="N114" s="75"/>
      <c r="O114" s="75"/>
      <c r="P114" s="6"/>
      <c r="Q114" s="14"/>
      <c r="R114" s="14"/>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row>
    <row r="115" spans="1:56" s="21" customFormat="1" x14ac:dyDescent="0.15">
      <c r="A115" s="113"/>
      <c r="B115" s="6"/>
      <c r="C115" s="6"/>
      <c r="D115" s="6"/>
      <c r="E115" s="6"/>
      <c r="F115" s="101"/>
      <c r="G115" s="102"/>
      <c r="H115" s="75"/>
      <c r="I115" s="75"/>
      <c r="J115" s="75"/>
      <c r="K115" s="75"/>
      <c r="N115" s="75"/>
      <c r="O115" s="75"/>
      <c r="P115" s="6"/>
      <c r="Q115" s="14"/>
      <c r="R115" s="14"/>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row>
    <row r="116" spans="1:56" s="21" customFormat="1" x14ac:dyDescent="0.15">
      <c r="A116" s="113"/>
      <c r="B116" s="6"/>
      <c r="C116" s="6"/>
      <c r="D116" s="6"/>
      <c r="E116" s="6"/>
      <c r="F116" s="101"/>
      <c r="G116" s="102"/>
      <c r="H116" s="75"/>
      <c r="I116" s="75"/>
      <c r="J116" s="75"/>
      <c r="K116" s="75"/>
      <c r="N116" s="75"/>
      <c r="O116" s="75"/>
      <c r="P116" s="6"/>
      <c r="Q116" s="14"/>
      <c r="R116" s="14"/>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row>
    <row r="117" spans="1:56" s="21" customFormat="1" x14ac:dyDescent="0.15">
      <c r="A117" s="113"/>
      <c r="B117" s="6"/>
      <c r="C117" s="6"/>
      <c r="D117" s="6"/>
      <c r="E117" s="6"/>
      <c r="F117" s="101"/>
      <c r="G117" s="102"/>
      <c r="H117" s="75"/>
      <c r="I117" s="75"/>
      <c r="J117" s="75"/>
      <c r="K117" s="75"/>
      <c r="N117" s="75"/>
      <c r="O117" s="75"/>
      <c r="P117" s="6"/>
      <c r="Q117" s="14"/>
      <c r="R117" s="14"/>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row>
    <row r="118" spans="1:56" s="21" customFormat="1" x14ac:dyDescent="0.15">
      <c r="A118" s="113"/>
      <c r="B118" s="6"/>
      <c r="C118" s="6"/>
      <c r="D118" s="6"/>
      <c r="E118" s="6"/>
      <c r="F118" s="101"/>
      <c r="G118" s="102"/>
      <c r="H118" s="75"/>
      <c r="I118" s="75"/>
      <c r="J118" s="75"/>
      <c r="K118" s="75"/>
      <c r="N118" s="75"/>
      <c r="O118" s="75"/>
      <c r="P118" s="6"/>
      <c r="Q118" s="14"/>
      <c r="R118" s="14"/>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row>
    <row r="119" spans="1:56" s="21" customFormat="1" x14ac:dyDescent="0.15">
      <c r="A119" s="113"/>
      <c r="B119" s="6"/>
      <c r="C119" s="6"/>
      <c r="D119" s="6"/>
      <c r="E119" s="6"/>
      <c r="F119" s="101"/>
      <c r="G119" s="102"/>
      <c r="H119" s="75"/>
      <c r="I119" s="75"/>
      <c r="J119" s="75"/>
      <c r="K119" s="75"/>
      <c r="N119" s="75"/>
      <c r="O119" s="75"/>
      <c r="P119" s="6"/>
      <c r="Q119" s="14"/>
      <c r="R119" s="14"/>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row>
    <row r="120" spans="1:56" s="21" customFormat="1" x14ac:dyDescent="0.15">
      <c r="A120" s="113"/>
      <c r="B120" s="6"/>
      <c r="C120" s="6"/>
      <c r="D120" s="6"/>
      <c r="E120" s="6"/>
      <c r="F120" s="101"/>
      <c r="G120" s="102"/>
      <c r="H120" s="75"/>
      <c r="I120" s="75"/>
      <c r="J120" s="75"/>
      <c r="K120" s="75"/>
      <c r="N120" s="75"/>
      <c r="O120" s="75"/>
      <c r="P120" s="6"/>
      <c r="Q120" s="14"/>
      <c r="R120" s="14"/>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row>
    <row r="121" spans="1:56" s="21" customFormat="1" x14ac:dyDescent="0.15">
      <c r="A121" s="113"/>
      <c r="B121" s="6"/>
      <c r="C121" s="6"/>
      <c r="D121" s="6"/>
      <c r="E121" s="6"/>
      <c r="F121" s="101"/>
      <c r="G121" s="102"/>
      <c r="H121" s="75"/>
      <c r="I121" s="75"/>
      <c r="J121" s="75"/>
      <c r="K121" s="75"/>
      <c r="N121" s="75"/>
      <c r="O121" s="75"/>
      <c r="P121" s="6"/>
      <c r="Q121" s="14"/>
      <c r="R121" s="14"/>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row>
    <row r="122" spans="1:56" s="21" customFormat="1" x14ac:dyDescent="0.15">
      <c r="A122" s="113"/>
      <c r="B122" s="6"/>
      <c r="C122" s="6"/>
      <c r="D122" s="6"/>
      <c r="E122" s="6"/>
      <c r="F122" s="101"/>
      <c r="G122" s="102"/>
      <c r="H122" s="75"/>
      <c r="I122" s="75"/>
      <c r="J122" s="75"/>
      <c r="K122" s="75"/>
      <c r="N122" s="75"/>
      <c r="O122" s="75"/>
      <c r="P122" s="6"/>
      <c r="Q122" s="14"/>
      <c r="R122" s="14"/>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row>
    <row r="123" spans="1:56" s="21" customFormat="1" x14ac:dyDescent="0.15">
      <c r="A123" s="113"/>
      <c r="B123" s="6"/>
      <c r="C123" s="6"/>
      <c r="D123" s="6"/>
      <c r="E123" s="6"/>
      <c r="F123" s="101"/>
      <c r="G123" s="102"/>
      <c r="H123" s="75"/>
      <c r="I123" s="75"/>
      <c r="J123" s="75"/>
      <c r="K123" s="75"/>
      <c r="N123" s="75"/>
      <c r="O123" s="75"/>
      <c r="P123" s="6"/>
      <c r="Q123" s="14"/>
      <c r="R123" s="14"/>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row>
    <row r="124" spans="1:56" x14ac:dyDescent="0.15">
      <c r="A124" s="113"/>
    </row>
    <row r="125" spans="1:56" x14ac:dyDescent="0.15">
      <c r="B125" s="6">
        <v>40985</v>
      </c>
      <c r="E125" s="6" t="s">
        <v>1549</v>
      </c>
      <c r="G125" s="102">
        <v>11</v>
      </c>
      <c r="H125" s="103">
        <v>10</v>
      </c>
      <c r="I125" s="103"/>
      <c r="J125" s="103"/>
      <c r="K125" s="103"/>
      <c r="L125" s="350"/>
      <c r="N125" s="104"/>
      <c r="O125" s="104"/>
      <c r="P125" s="6">
        <v>6</v>
      </c>
      <c r="Q125" s="14">
        <v>-4</v>
      </c>
      <c r="R125" s="14">
        <v>1.5509259259259261E-3</v>
      </c>
    </row>
    <row r="126" spans="1:56" x14ac:dyDescent="0.15">
      <c r="A126" s="113"/>
    </row>
    <row r="127" spans="1:56" x14ac:dyDescent="0.15">
      <c r="A127" s="113"/>
    </row>
    <row r="128" spans="1:56" x14ac:dyDescent="0.15">
      <c r="A128" s="113"/>
    </row>
    <row r="129" spans="1:21" x14ac:dyDescent="0.15">
      <c r="A129" s="113"/>
    </row>
    <row r="130" spans="1:21" x14ac:dyDescent="0.15">
      <c r="A130" s="113"/>
    </row>
    <row r="131" spans="1:21" x14ac:dyDescent="0.15">
      <c r="A131" s="113"/>
    </row>
    <row r="132" spans="1:21" x14ac:dyDescent="0.15">
      <c r="A132" s="113"/>
    </row>
    <row r="133" spans="1:21" x14ac:dyDescent="0.15">
      <c r="A133" s="113"/>
    </row>
    <row r="135" spans="1:21" x14ac:dyDescent="0.15">
      <c r="F135" s="71"/>
    </row>
    <row r="136" spans="1:21" x14ac:dyDescent="0.15">
      <c r="F136" s="71"/>
    </row>
    <row r="137" spans="1:21" x14ac:dyDescent="0.15">
      <c r="F137" s="107"/>
      <c r="G137" s="108"/>
    </row>
    <row r="140" spans="1:21" x14ac:dyDescent="0.15">
      <c r="A140" s="6" t="s">
        <v>196</v>
      </c>
      <c r="B140" s="6">
        <v>40990</v>
      </c>
      <c r="H140" s="104"/>
      <c r="I140" s="104"/>
      <c r="J140" s="104"/>
      <c r="K140" s="104">
        <v>9</v>
      </c>
      <c r="P140" s="6">
        <v>8</v>
      </c>
      <c r="Q140" s="14">
        <v>-10</v>
      </c>
      <c r="R140" s="14">
        <v>1.0995370370370371E-3</v>
      </c>
      <c r="S140" s="13">
        <v>0</v>
      </c>
      <c r="T140" s="13" t="s">
        <v>625</v>
      </c>
      <c r="U140" s="13" t="s">
        <v>1281</v>
      </c>
    </row>
    <row r="161" spans="1:56" ht="13" x14ac:dyDescent="0.15">
      <c r="U161" s="19" t="s">
        <v>1712</v>
      </c>
    </row>
    <row r="163" spans="1:56" x14ac:dyDescent="0.15">
      <c r="J163" s="75" t="s">
        <v>961</v>
      </c>
      <c r="K163" s="75">
        <v>8</v>
      </c>
      <c r="P163" s="6">
        <v>6</v>
      </c>
      <c r="Q163" s="14">
        <v>-6.25</v>
      </c>
      <c r="R163" s="14">
        <v>1.1689814814814816E-3</v>
      </c>
      <c r="S163" s="13">
        <v>80</v>
      </c>
      <c r="U163" s="13" t="s">
        <v>1715</v>
      </c>
    </row>
    <row r="164" spans="1:56" ht="13" x14ac:dyDescent="0.15">
      <c r="J164" s="75" t="s">
        <v>961</v>
      </c>
      <c r="P164" s="6">
        <v>2</v>
      </c>
      <c r="Q164" s="115" t="s">
        <v>1202</v>
      </c>
      <c r="R164" s="14">
        <v>7.6388888888888893E-4</v>
      </c>
      <c r="S164" s="13">
        <v>4520</v>
      </c>
      <c r="U164" s="19" t="s">
        <v>1717</v>
      </c>
      <c r="BD164" s="13">
        <v>4</v>
      </c>
    </row>
    <row r="165" spans="1:56" ht="13" x14ac:dyDescent="0.15">
      <c r="P165" s="6">
        <v>1</v>
      </c>
      <c r="Q165" s="14">
        <v>0.75</v>
      </c>
      <c r="R165" s="14">
        <v>1.1458333333333333E-3</v>
      </c>
      <c r="S165" s="13">
        <v>10980</v>
      </c>
      <c r="U165" s="19" t="s">
        <v>1720</v>
      </c>
      <c r="BC165" s="13">
        <v>4.2</v>
      </c>
      <c r="BD165" s="13">
        <v>3.2</v>
      </c>
    </row>
    <row r="171" spans="1:56" x14ac:dyDescent="0.15">
      <c r="L171" s="21">
        <v>30</v>
      </c>
    </row>
    <row r="175" spans="1:56" x14ac:dyDescent="0.15">
      <c r="A175" s="113"/>
      <c r="B175" s="6">
        <v>40999</v>
      </c>
      <c r="E175" s="6" t="s">
        <v>66</v>
      </c>
      <c r="F175" s="101" t="s">
        <v>1190</v>
      </c>
      <c r="G175" s="102">
        <v>3</v>
      </c>
      <c r="K175" s="75">
        <v>6</v>
      </c>
      <c r="L175" s="21">
        <v>6</v>
      </c>
      <c r="N175" s="75">
        <v>34000</v>
      </c>
    </row>
    <row r="176" spans="1:56" x14ac:dyDescent="0.15">
      <c r="L176" s="35"/>
    </row>
    <row r="178" spans="2:21" x14ac:dyDescent="0.15">
      <c r="B178" s="6">
        <v>41000</v>
      </c>
      <c r="E178" s="6" t="s">
        <v>1714</v>
      </c>
      <c r="G178" s="102">
        <v>10</v>
      </c>
      <c r="K178" s="75">
        <v>10</v>
      </c>
      <c r="L178" s="35"/>
      <c r="N178" s="75">
        <v>7600</v>
      </c>
      <c r="O178" s="75" t="s">
        <v>197</v>
      </c>
    </row>
    <row r="184" spans="2:21" ht="13" x14ac:dyDescent="0.15">
      <c r="B184" s="6">
        <v>41013</v>
      </c>
      <c r="F184" s="116" t="s">
        <v>1718</v>
      </c>
      <c r="I184" s="117" t="s">
        <v>1360</v>
      </c>
      <c r="N184" s="75">
        <v>750000</v>
      </c>
      <c r="O184" s="117" t="s">
        <v>1719</v>
      </c>
      <c r="U184" s="19" t="s">
        <v>376</v>
      </c>
    </row>
    <row r="253" spans="1:56" s="21" customFormat="1" ht="13" x14ac:dyDescent="0.15">
      <c r="A253" s="5" t="s">
        <v>355</v>
      </c>
      <c r="B253" s="6">
        <v>40997</v>
      </c>
      <c r="C253" s="5" t="s">
        <v>1035</v>
      </c>
      <c r="D253" s="6">
        <v>3</v>
      </c>
      <c r="E253" s="5" t="s">
        <v>662</v>
      </c>
      <c r="F253" s="101">
        <v>4.5138888888888892E-4</v>
      </c>
      <c r="G253" s="102"/>
      <c r="H253" s="75"/>
      <c r="I253" s="118" t="s">
        <v>1526</v>
      </c>
      <c r="J253" s="75"/>
      <c r="K253" s="75"/>
      <c r="N253" s="75"/>
      <c r="O253" s="75"/>
      <c r="P253" s="6"/>
      <c r="Q253" s="14"/>
      <c r="R253" s="14"/>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row>
    <row r="254" spans="1:56" s="21" customFormat="1" ht="13" x14ac:dyDescent="0.15">
      <c r="A254" s="5" t="s">
        <v>479</v>
      </c>
      <c r="B254" s="6">
        <v>40997</v>
      </c>
      <c r="C254" s="5" t="s">
        <v>1035</v>
      </c>
      <c r="D254" s="6">
        <v>4</v>
      </c>
      <c r="E254" s="5" t="s">
        <v>662</v>
      </c>
      <c r="F254" s="101">
        <v>5.7870370370370378E-4</v>
      </c>
      <c r="G254" s="102"/>
      <c r="H254" s="75"/>
      <c r="I254" s="118" t="s">
        <v>1210</v>
      </c>
      <c r="J254" s="75"/>
      <c r="K254" s="75"/>
      <c r="N254" s="75"/>
      <c r="O254" s="75"/>
      <c r="P254" s="6"/>
      <c r="Q254" s="14"/>
      <c r="R254" s="14"/>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row>
    <row r="255" spans="1:56" s="21" customFormat="1" ht="13" x14ac:dyDescent="0.15">
      <c r="A255" s="5" t="s">
        <v>375</v>
      </c>
      <c r="B255" s="6">
        <v>40997</v>
      </c>
      <c r="C255" s="5" t="s">
        <v>86</v>
      </c>
      <c r="D255" s="6">
        <v>4</v>
      </c>
      <c r="E255" s="5" t="s">
        <v>662</v>
      </c>
      <c r="F255" s="101">
        <v>5.5555555555555556E-4</v>
      </c>
      <c r="G255" s="102"/>
      <c r="H255" s="75"/>
      <c r="I255" s="118" t="s">
        <v>1204</v>
      </c>
      <c r="J255" s="75"/>
      <c r="K255" s="75"/>
      <c r="N255" s="75"/>
      <c r="O255" s="75"/>
      <c r="P255" s="6"/>
      <c r="Q255" s="14"/>
      <c r="R255" s="14"/>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row>
    <row r="256" spans="1:56" s="21" customFormat="1" ht="13" x14ac:dyDescent="0.15">
      <c r="A256" s="5" t="s">
        <v>1158</v>
      </c>
      <c r="B256" s="6">
        <v>40997</v>
      </c>
      <c r="C256" s="5" t="s">
        <v>797</v>
      </c>
      <c r="D256" s="6">
        <v>5</v>
      </c>
      <c r="E256" s="5" t="s">
        <v>758</v>
      </c>
      <c r="F256" s="101">
        <v>6.9444444444444447E-4</v>
      </c>
      <c r="G256" s="102"/>
      <c r="H256" s="75"/>
      <c r="I256" s="117" t="s">
        <v>1716</v>
      </c>
      <c r="J256" s="75"/>
      <c r="K256" s="75"/>
      <c r="N256" s="75"/>
      <c r="O256" s="75"/>
      <c r="P256" s="6"/>
      <c r="Q256" s="14"/>
      <c r="R256" s="14"/>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row>
    <row r="257" spans="1:56" s="21" customFormat="1" ht="13" x14ac:dyDescent="0.15">
      <c r="A257" s="5" t="s">
        <v>353</v>
      </c>
      <c r="B257" s="6">
        <v>40997</v>
      </c>
      <c r="C257" s="5" t="s">
        <v>797</v>
      </c>
      <c r="D257" s="6">
        <v>3</v>
      </c>
      <c r="E257" s="5" t="s">
        <v>758</v>
      </c>
      <c r="F257" s="101">
        <v>4.1666666666666669E-4</v>
      </c>
      <c r="G257" s="102"/>
      <c r="H257" s="117" t="s">
        <v>1249</v>
      </c>
      <c r="I257" s="118" t="s">
        <v>793</v>
      </c>
      <c r="J257" s="75"/>
      <c r="K257" s="75"/>
      <c r="N257" s="75"/>
      <c r="O257" s="75"/>
      <c r="P257" s="6"/>
      <c r="Q257" s="14"/>
      <c r="R257" s="14"/>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row>
    <row r="258" spans="1:56" s="21" customFormat="1" ht="13" x14ac:dyDescent="0.15">
      <c r="A258" s="5" t="s">
        <v>1528</v>
      </c>
      <c r="B258" s="6">
        <v>40997</v>
      </c>
      <c r="C258" s="5" t="s">
        <v>469</v>
      </c>
      <c r="D258" s="6">
        <v>6</v>
      </c>
      <c r="E258" s="5" t="s">
        <v>662</v>
      </c>
      <c r="F258" s="101">
        <v>8.6805555555555551E-4</v>
      </c>
      <c r="G258" s="102"/>
      <c r="H258" s="75"/>
      <c r="I258" s="118" t="s">
        <v>964</v>
      </c>
      <c r="J258" s="75"/>
      <c r="K258" s="75"/>
      <c r="N258" s="75"/>
      <c r="O258" s="75"/>
      <c r="P258" s="6"/>
      <c r="Q258" s="14"/>
      <c r="R258" s="14"/>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row>
  </sheetData>
  <pageMargins left="0.7" right="0.7" top="0.75" bottom="0.75" header="0.3" footer="0.3"/>
  <pageSetup orientation="portrait" vertic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57"/>
  <sheetViews>
    <sheetView workbookViewId="0">
      <pane ySplit="3" topLeftCell="A4" activePane="bottomLeft" state="frozen"/>
      <selection pane="bottomLeft" activeCell="C52" sqref="C52"/>
    </sheetView>
  </sheetViews>
  <sheetFormatPr baseColWidth="10" defaultColWidth="9.1640625" defaultRowHeight="12" x14ac:dyDescent="0.15"/>
  <cols>
    <col min="1" max="1" width="17.5" style="6" customWidth="1"/>
    <col min="2" max="2" width="12.83203125" style="6" customWidth="1"/>
    <col min="3" max="3" width="23.33203125" style="6" customWidth="1"/>
    <col min="4" max="4" width="18.5" style="6" customWidth="1"/>
    <col min="5" max="5" width="17.1640625" style="6" customWidth="1"/>
    <col min="6" max="6" width="10.33203125" style="101" customWidth="1"/>
    <col min="7" max="7" width="10.33203125" style="102" customWidth="1"/>
    <col min="8" max="8" width="4.1640625" style="75" customWidth="1"/>
    <col min="9" max="11" width="3.5" style="75" customWidth="1"/>
    <col min="12" max="12" width="9.5" style="21" customWidth="1"/>
    <col min="13" max="13" width="9.6640625" style="21" customWidth="1"/>
    <col min="14" max="15" width="9.5" style="75" customWidth="1"/>
    <col min="16" max="16" width="9.1640625" style="6"/>
    <col min="17" max="17" width="2.6640625" style="14" customWidth="1"/>
    <col min="18" max="18" width="9.1640625" style="14"/>
    <col min="19" max="19" width="11.5" style="13" customWidth="1"/>
    <col min="20" max="20" width="9.1640625" style="13"/>
    <col min="21" max="21" width="2.6640625" style="13" customWidth="1"/>
    <col min="22" max="16384" width="9.1640625" style="13"/>
  </cols>
  <sheetData>
    <row r="1" spans="1:45" ht="12" customHeight="1" x14ac:dyDescent="0.15"/>
    <row r="2" spans="1:45" ht="12" customHeight="1" x14ac:dyDescent="0.15">
      <c r="A2" s="72"/>
      <c r="F2" s="73"/>
      <c r="G2" s="74" t="s">
        <v>436</v>
      </c>
      <c r="K2" s="76"/>
      <c r="L2" s="74" t="s">
        <v>624</v>
      </c>
      <c r="M2" s="74"/>
      <c r="N2" s="37"/>
      <c r="O2" s="7"/>
      <c r="P2" s="7"/>
      <c r="S2" s="38"/>
      <c r="AA2" s="77"/>
    </row>
    <row r="3" spans="1:45" s="84" customFormat="1" ht="44" customHeight="1" thickBot="1" x14ac:dyDescent="0.2">
      <c r="A3" s="78" t="s">
        <v>720</v>
      </c>
      <c r="B3" s="78" t="s">
        <v>710</v>
      </c>
      <c r="C3" s="78" t="s">
        <v>844</v>
      </c>
      <c r="D3" s="78" t="s">
        <v>670</v>
      </c>
      <c r="E3" s="78" t="s">
        <v>310</v>
      </c>
      <c r="F3" s="79" t="s">
        <v>845</v>
      </c>
      <c r="G3" s="80" t="s">
        <v>635</v>
      </c>
      <c r="H3" s="81" t="s">
        <v>392</v>
      </c>
      <c r="I3" s="81" t="s">
        <v>393</v>
      </c>
      <c r="J3" s="81" t="s">
        <v>394</v>
      </c>
      <c r="K3" s="81" t="s">
        <v>395</v>
      </c>
      <c r="L3" s="82" t="s">
        <v>647</v>
      </c>
      <c r="M3" s="82" t="s">
        <v>1977</v>
      </c>
      <c r="N3" s="81" t="s">
        <v>120</v>
      </c>
      <c r="O3" s="81" t="s">
        <v>1242</v>
      </c>
      <c r="P3" s="78" t="s">
        <v>669</v>
      </c>
      <c r="Q3" s="83"/>
      <c r="R3" s="83"/>
    </row>
    <row r="4" spans="1:45" s="90" customFormat="1" ht="12" customHeight="1" thickTop="1" x14ac:dyDescent="0.15">
      <c r="A4" s="51"/>
      <c r="B4" s="51"/>
      <c r="C4" s="51" t="s">
        <v>4466</v>
      </c>
      <c r="D4" s="51" t="s">
        <v>4467</v>
      </c>
      <c r="E4" s="51"/>
      <c r="F4" s="85"/>
      <c r="G4" s="86"/>
      <c r="H4" s="348"/>
      <c r="I4" s="348"/>
      <c r="J4" s="348"/>
      <c r="K4" s="348"/>
      <c r="L4" s="86"/>
      <c r="M4" s="86"/>
      <c r="N4" s="88"/>
      <c r="O4" s="349"/>
      <c r="P4" s="349" t="s">
        <v>4468</v>
      </c>
      <c r="Q4" s="55"/>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13"/>
    </row>
    <row r="5" spans="1:45" s="90" customFormat="1" ht="12" customHeight="1" x14ac:dyDescent="0.15">
      <c r="A5" s="70"/>
      <c r="B5" s="70"/>
      <c r="C5" s="70" t="s">
        <v>949</v>
      </c>
      <c r="D5" s="70" t="s">
        <v>459</v>
      </c>
      <c r="E5" s="70"/>
      <c r="F5" s="91"/>
      <c r="G5" s="92"/>
      <c r="H5" s="93"/>
      <c r="I5" s="93"/>
      <c r="J5" s="93"/>
      <c r="K5" s="93"/>
      <c r="L5" s="92"/>
      <c r="M5" s="92"/>
      <c r="N5" s="94"/>
      <c r="O5" s="95"/>
      <c r="P5" s="95"/>
      <c r="Q5" s="67"/>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13"/>
    </row>
    <row r="6" spans="1:45" s="90" customFormat="1" ht="12" customHeight="1" x14ac:dyDescent="0.15">
      <c r="A6" s="51"/>
      <c r="B6" s="51"/>
      <c r="C6" s="51" t="s">
        <v>401</v>
      </c>
      <c r="D6" s="51" t="s">
        <v>462</v>
      </c>
      <c r="E6" s="51"/>
      <c r="F6" s="85"/>
      <c r="G6" s="86"/>
      <c r="H6" s="348"/>
      <c r="I6" s="348"/>
      <c r="J6" s="348"/>
      <c r="K6" s="348"/>
      <c r="L6" s="86"/>
      <c r="M6" s="86"/>
      <c r="N6" s="88"/>
      <c r="O6" s="349"/>
      <c r="P6" s="349"/>
      <c r="Q6" s="55"/>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13"/>
    </row>
    <row r="7" spans="1:45" s="90" customFormat="1" ht="12" customHeight="1" x14ac:dyDescent="0.15">
      <c r="A7" s="51"/>
      <c r="B7" s="51"/>
      <c r="C7" s="51" t="s">
        <v>5272</v>
      </c>
      <c r="D7" s="51" t="s">
        <v>5273</v>
      </c>
      <c r="E7" s="51"/>
      <c r="F7" s="85"/>
      <c r="G7" s="86"/>
      <c r="H7" s="348"/>
      <c r="I7" s="348"/>
      <c r="J7" s="348"/>
      <c r="K7" s="348"/>
      <c r="L7" s="86"/>
      <c r="M7" s="86"/>
      <c r="N7" s="88"/>
      <c r="O7" s="349"/>
      <c r="P7" s="349"/>
      <c r="Q7" s="55"/>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13"/>
    </row>
    <row r="8" spans="1:45" s="90" customFormat="1" ht="12" customHeight="1" x14ac:dyDescent="0.15">
      <c r="A8" s="51"/>
      <c r="B8" s="51"/>
      <c r="C8" s="51" t="s">
        <v>5274</v>
      </c>
      <c r="D8" s="51" t="s">
        <v>718</v>
      </c>
      <c r="E8" s="51"/>
      <c r="F8" s="85"/>
      <c r="G8" s="86"/>
      <c r="H8" s="348"/>
      <c r="I8" s="348"/>
      <c r="J8" s="348"/>
      <c r="K8" s="348"/>
      <c r="L8" s="86"/>
      <c r="M8" s="86"/>
      <c r="N8" s="88"/>
      <c r="O8" s="349"/>
      <c r="P8" s="349"/>
      <c r="Q8" s="55"/>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13"/>
    </row>
    <row r="9" spans="1:45" s="90" customFormat="1" ht="12" customHeight="1" x14ac:dyDescent="0.15">
      <c r="A9" s="51"/>
      <c r="B9" s="51"/>
      <c r="C9" s="51" t="s">
        <v>5275</v>
      </c>
      <c r="D9" s="51" t="s">
        <v>3807</v>
      </c>
      <c r="E9" s="51"/>
      <c r="F9" s="85"/>
      <c r="G9" s="86"/>
      <c r="H9" s="348"/>
      <c r="I9" s="348"/>
      <c r="J9" s="348"/>
      <c r="K9" s="348"/>
      <c r="L9" s="86"/>
      <c r="M9" s="86"/>
      <c r="N9" s="88"/>
      <c r="O9" s="349"/>
      <c r="P9" s="349"/>
      <c r="Q9" s="55"/>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13"/>
    </row>
    <row r="10" spans="1:45" s="90" customFormat="1" ht="12" customHeight="1" x14ac:dyDescent="0.15">
      <c r="A10" s="51"/>
      <c r="B10" s="51"/>
      <c r="C10" s="51" t="s">
        <v>706</v>
      </c>
      <c r="D10" s="51" t="s">
        <v>725</v>
      </c>
      <c r="E10" s="51"/>
      <c r="F10" s="85"/>
      <c r="G10" s="86"/>
      <c r="H10" s="348"/>
      <c r="I10" s="348"/>
      <c r="J10" s="348"/>
      <c r="K10" s="348"/>
      <c r="L10" s="86"/>
      <c r="M10" s="86"/>
      <c r="N10" s="88"/>
      <c r="O10" s="349"/>
      <c r="P10" s="349" t="s">
        <v>5286</v>
      </c>
      <c r="Q10" s="55"/>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13"/>
    </row>
    <row r="11" spans="1:45" s="90" customFormat="1" ht="12" customHeight="1" x14ac:dyDescent="0.15">
      <c r="A11" s="51"/>
      <c r="B11" s="51"/>
      <c r="C11" s="51"/>
      <c r="D11" s="51"/>
      <c r="E11" s="51"/>
      <c r="F11" s="85"/>
      <c r="G11" s="86"/>
      <c r="H11" s="348"/>
      <c r="I11" s="348"/>
      <c r="J11" s="348"/>
      <c r="K11" s="348"/>
      <c r="L11" s="86"/>
      <c r="M11" s="86"/>
      <c r="N11" s="88"/>
      <c r="O11" s="349"/>
      <c r="P11" s="349"/>
      <c r="Q11" s="55"/>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13"/>
    </row>
    <row r="12" spans="1:45" s="90" customFormat="1" ht="12" customHeight="1" x14ac:dyDescent="0.15">
      <c r="A12" s="51"/>
      <c r="B12" s="51"/>
      <c r="C12" s="51"/>
      <c r="D12" s="51"/>
      <c r="E12" s="51"/>
      <c r="F12" s="85"/>
      <c r="G12" s="86"/>
      <c r="H12" s="348"/>
      <c r="I12" s="348"/>
      <c r="J12" s="348"/>
      <c r="K12" s="348"/>
      <c r="L12" s="86"/>
      <c r="M12" s="86"/>
      <c r="N12" s="88"/>
      <c r="O12" s="349"/>
      <c r="P12" s="349"/>
      <c r="Q12" s="55"/>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13"/>
    </row>
    <row r="13" spans="1:45" s="90" customFormat="1" ht="12" customHeight="1" x14ac:dyDescent="0.15">
      <c r="A13" s="51"/>
      <c r="B13" s="51"/>
      <c r="C13" s="51"/>
      <c r="D13" s="51"/>
      <c r="E13" s="51"/>
      <c r="F13" s="85"/>
      <c r="G13" s="86"/>
      <c r="H13" s="348"/>
      <c r="I13" s="348"/>
      <c r="J13" s="348"/>
      <c r="K13" s="348"/>
      <c r="L13" s="86"/>
      <c r="M13" s="86"/>
      <c r="N13" s="88"/>
      <c r="O13" s="349"/>
      <c r="P13" s="349"/>
      <c r="Q13" s="55"/>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13"/>
    </row>
    <row r="14" spans="1:45" s="90" customFormat="1" ht="12" customHeight="1" x14ac:dyDescent="0.15">
      <c r="A14" s="51"/>
      <c r="B14" s="51"/>
      <c r="C14" s="51"/>
      <c r="D14" s="51"/>
      <c r="E14" s="51"/>
      <c r="F14" s="85"/>
      <c r="G14" s="86"/>
      <c r="H14" s="348"/>
      <c r="I14" s="348"/>
      <c r="J14" s="348"/>
      <c r="K14" s="348"/>
      <c r="L14" s="86"/>
      <c r="M14" s="86"/>
      <c r="N14" s="88"/>
      <c r="O14" s="349"/>
      <c r="P14" s="349"/>
      <c r="Q14" s="55"/>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13"/>
    </row>
    <row r="15" spans="1:45" s="90" customFormat="1" ht="12" customHeight="1" x14ac:dyDescent="0.15">
      <c r="A15" s="51"/>
      <c r="B15" s="51"/>
      <c r="C15" s="51"/>
      <c r="D15" s="51"/>
      <c r="E15" s="51"/>
      <c r="F15" s="85"/>
      <c r="G15" s="86"/>
      <c r="H15" s="348"/>
      <c r="I15" s="348"/>
      <c r="J15" s="348"/>
      <c r="K15" s="348"/>
      <c r="L15" s="86"/>
      <c r="M15" s="86"/>
      <c r="N15" s="88"/>
      <c r="O15" s="349"/>
      <c r="P15" s="349"/>
      <c r="Q15" s="55"/>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13"/>
    </row>
    <row r="16" spans="1:45" s="90" customFormat="1" ht="12" customHeight="1" x14ac:dyDescent="0.15">
      <c r="A16" s="51"/>
      <c r="B16" s="51"/>
      <c r="C16" s="51"/>
      <c r="D16" s="51"/>
      <c r="E16" s="51"/>
      <c r="F16" s="85"/>
      <c r="G16" s="86"/>
      <c r="H16" s="348"/>
      <c r="I16" s="348"/>
      <c r="J16" s="348"/>
      <c r="K16" s="348"/>
      <c r="L16" s="86"/>
      <c r="M16" s="86"/>
      <c r="N16" s="88"/>
      <c r="O16" s="349"/>
      <c r="P16" s="349"/>
      <c r="Q16" s="55"/>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13"/>
    </row>
    <row r="17" spans="1:45" s="90" customFormat="1" ht="12" customHeight="1" x14ac:dyDescent="0.15">
      <c r="A17" s="51"/>
      <c r="B17" s="51"/>
      <c r="C17" s="51"/>
      <c r="D17" s="51"/>
      <c r="E17" s="51"/>
      <c r="F17" s="85"/>
      <c r="G17" s="86"/>
      <c r="H17" s="348"/>
      <c r="I17" s="348"/>
      <c r="J17" s="348"/>
      <c r="K17" s="348"/>
      <c r="L17" s="86"/>
      <c r="M17" s="86"/>
      <c r="N17" s="88"/>
      <c r="O17" s="349"/>
      <c r="P17" s="349"/>
      <c r="Q17" s="55"/>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13"/>
    </row>
    <row r="18" spans="1:45" s="90" customFormat="1" ht="12" customHeight="1" x14ac:dyDescent="0.15">
      <c r="A18" s="51"/>
      <c r="B18" s="51"/>
      <c r="C18" s="51"/>
      <c r="D18" s="51"/>
      <c r="E18" s="51"/>
      <c r="F18" s="85"/>
      <c r="G18" s="86"/>
      <c r="H18" s="348"/>
      <c r="I18" s="348"/>
      <c r="J18" s="348"/>
      <c r="K18" s="348"/>
      <c r="L18" s="86"/>
      <c r="M18" s="86"/>
      <c r="N18" s="88"/>
      <c r="O18" s="349"/>
      <c r="P18" s="349"/>
      <c r="Q18" s="55"/>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13"/>
    </row>
    <row r="19" spans="1:45" s="90" customFormat="1" ht="12" customHeight="1" x14ac:dyDescent="0.15">
      <c r="A19" s="51"/>
      <c r="B19" s="51"/>
      <c r="C19" s="51"/>
      <c r="D19" s="51"/>
      <c r="E19" s="51"/>
      <c r="F19" s="85"/>
      <c r="G19" s="86"/>
      <c r="H19" s="348"/>
      <c r="I19" s="348"/>
      <c r="J19" s="348"/>
      <c r="K19" s="348"/>
      <c r="L19" s="86"/>
      <c r="M19" s="86"/>
      <c r="N19" s="88"/>
      <c r="O19" s="349"/>
      <c r="P19" s="349"/>
      <c r="Q19" s="55"/>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13"/>
    </row>
    <row r="20" spans="1:45" s="90" customFormat="1" ht="12" customHeight="1" x14ac:dyDescent="0.15">
      <c r="A20" s="51"/>
      <c r="B20" s="51"/>
      <c r="C20" s="51"/>
      <c r="D20" s="51"/>
      <c r="E20" s="51"/>
      <c r="F20" s="85"/>
      <c r="G20" s="86"/>
      <c r="H20" s="348"/>
      <c r="I20" s="348"/>
      <c r="J20" s="348"/>
      <c r="K20" s="348"/>
      <c r="L20" s="86"/>
      <c r="M20" s="86"/>
      <c r="N20" s="88"/>
      <c r="O20" s="349"/>
      <c r="P20" s="349"/>
      <c r="Q20" s="55"/>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13"/>
    </row>
    <row r="21" spans="1:45" s="90" customFormat="1" ht="12" customHeight="1" x14ac:dyDescent="0.15">
      <c r="A21" s="51"/>
      <c r="B21" s="51"/>
      <c r="C21" s="51"/>
      <c r="D21" s="51"/>
      <c r="E21" s="51"/>
      <c r="F21" s="85"/>
      <c r="G21" s="86"/>
      <c r="H21" s="348"/>
      <c r="I21" s="348"/>
      <c r="J21" s="348"/>
      <c r="K21" s="348"/>
      <c r="L21" s="86"/>
      <c r="M21" s="86"/>
      <c r="N21" s="88"/>
      <c r="O21" s="349"/>
      <c r="P21" s="349"/>
      <c r="Q21" s="55"/>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13"/>
    </row>
    <row r="22" spans="1:45" s="90" customFormat="1" ht="12" customHeight="1" x14ac:dyDescent="0.15">
      <c r="A22" s="51"/>
      <c r="B22" s="51"/>
      <c r="C22" s="51"/>
      <c r="D22" s="51"/>
      <c r="E22" s="51"/>
      <c r="F22" s="85"/>
      <c r="G22" s="86"/>
      <c r="H22" s="348"/>
      <c r="I22" s="348"/>
      <c r="J22" s="348"/>
      <c r="K22" s="348"/>
      <c r="L22" s="86"/>
      <c r="M22" s="86"/>
      <c r="N22" s="88"/>
      <c r="O22" s="349"/>
      <c r="P22" s="349"/>
      <c r="Q22" s="55"/>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13"/>
    </row>
    <row r="23" spans="1:45" s="90" customFormat="1" ht="12" customHeight="1" x14ac:dyDescent="0.15">
      <c r="A23" s="51"/>
      <c r="B23" s="51"/>
      <c r="C23" s="51"/>
      <c r="D23" s="51"/>
      <c r="E23" s="51"/>
      <c r="F23" s="85"/>
      <c r="G23" s="86"/>
      <c r="H23" s="348"/>
      <c r="I23" s="348"/>
      <c r="J23" s="348"/>
      <c r="K23" s="348"/>
      <c r="L23" s="86"/>
      <c r="M23" s="86"/>
      <c r="N23" s="88"/>
      <c r="O23" s="349"/>
      <c r="P23" s="349"/>
      <c r="Q23" s="55"/>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13"/>
    </row>
    <row r="24" spans="1:45" s="90" customFormat="1" ht="12" customHeight="1" x14ac:dyDescent="0.15">
      <c r="A24" s="51"/>
      <c r="B24" s="51"/>
      <c r="C24" s="51"/>
      <c r="D24" s="51"/>
      <c r="E24" s="51"/>
      <c r="F24" s="85"/>
      <c r="G24" s="86"/>
      <c r="H24" s="348"/>
      <c r="I24" s="348"/>
      <c r="J24" s="348"/>
      <c r="K24" s="348"/>
      <c r="L24" s="86"/>
      <c r="M24" s="86"/>
      <c r="N24" s="88"/>
      <c r="O24" s="349"/>
      <c r="P24" s="349"/>
      <c r="Q24" s="55"/>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13"/>
    </row>
    <row r="25" spans="1:45" s="90" customFormat="1" ht="12" customHeight="1" x14ac:dyDescent="0.15">
      <c r="A25" s="51"/>
      <c r="B25" s="51"/>
      <c r="C25" s="51"/>
      <c r="D25" s="51"/>
      <c r="E25" s="51"/>
      <c r="F25" s="85"/>
      <c r="G25" s="86"/>
      <c r="H25" s="348"/>
      <c r="I25" s="348"/>
      <c r="J25" s="348"/>
      <c r="K25" s="348"/>
      <c r="L25" s="86"/>
      <c r="M25" s="86"/>
      <c r="N25" s="88"/>
      <c r="O25" s="349"/>
      <c r="P25" s="349"/>
      <c r="Q25" s="55"/>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13"/>
    </row>
    <row r="26" spans="1:45" s="90" customFormat="1" ht="12" customHeight="1" x14ac:dyDescent="0.15">
      <c r="A26" s="51"/>
      <c r="B26" s="51"/>
      <c r="C26" s="51"/>
      <c r="D26" s="51"/>
      <c r="E26" s="51"/>
      <c r="F26" s="85"/>
      <c r="G26" s="86"/>
      <c r="H26" s="348"/>
      <c r="I26" s="348"/>
      <c r="J26" s="348"/>
      <c r="K26" s="348"/>
      <c r="L26" s="86"/>
      <c r="M26" s="86"/>
      <c r="N26" s="88"/>
      <c r="O26" s="349"/>
      <c r="P26" s="349"/>
      <c r="Q26" s="55"/>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13"/>
    </row>
    <row r="27" spans="1:45" s="90" customFormat="1" ht="12" customHeight="1" x14ac:dyDescent="0.15">
      <c r="A27" s="51"/>
      <c r="B27" s="51"/>
      <c r="C27" s="51"/>
      <c r="D27" s="51"/>
      <c r="E27" s="51"/>
      <c r="F27" s="85"/>
      <c r="G27" s="86"/>
      <c r="H27" s="348"/>
      <c r="I27" s="348"/>
      <c r="J27" s="348"/>
      <c r="K27" s="348"/>
      <c r="L27" s="86"/>
      <c r="M27" s="86"/>
      <c r="N27" s="88"/>
      <c r="O27" s="349"/>
      <c r="P27" s="349"/>
      <c r="Q27" s="55"/>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13"/>
    </row>
    <row r="28" spans="1:45" s="90" customFormat="1" ht="12" customHeight="1" x14ac:dyDescent="0.15">
      <c r="A28" s="51"/>
      <c r="B28" s="51"/>
      <c r="C28" s="51"/>
      <c r="D28" s="51"/>
      <c r="E28" s="51"/>
      <c r="F28" s="85"/>
      <c r="G28" s="86"/>
      <c r="H28" s="348"/>
      <c r="I28" s="348"/>
      <c r="J28" s="348"/>
      <c r="K28" s="348"/>
      <c r="L28" s="86"/>
      <c r="M28" s="86"/>
      <c r="N28" s="88"/>
      <c r="O28" s="349"/>
      <c r="P28" s="349"/>
      <c r="Q28" s="55"/>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13"/>
    </row>
    <row r="29" spans="1:45" s="90" customFormat="1" ht="12" customHeight="1" x14ac:dyDescent="0.15">
      <c r="A29" s="51"/>
      <c r="B29" s="51"/>
      <c r="C29" s="51"/>
      <c r="D29" s="51"/>
      <c r="E29" s="51"/>
      <c r="F29" s="85"/>
      <c r="G29" s="86"/>
      <c r="H29" s="348"/>
      <c r="I29" s="348"/>
      <c r="J29" s="348"/>
      <c r="K29" s="348"/>
      <c r="L29" s="86"/>
      <c r="M29" s="86"/>
      <c r="N29" s="88"/>
      <c r="O29" s="349"/>
      <c r="P29" s="349"/>
      <c r="Q29" s="55"/>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13"/>
    </row>
    <row r="30" spans="1:45" s="90" customFormat="1" ht="12" customHeight="1" x14ac:dyDescent="0.15">
      <c r="A30" s="51"/>
      <c r="B30" s="51"/>
      <c r="C30" s="51"/>
      <c r="D30" s="51"/>
      <c r="E30" s="51"/>
      <c r="F30" s="85"/>
      <c r="G30" s="86"/>
      <c r="H30" s="348"/>
      <c r="I30" s="348"/>
      <c r="J30" s="348"/>
      <c r="K30" s="348"/>
      <c r="L30" s="86"/>
      <c r="M30" s="86"/>
      <c r="N30" s="88"/>
      <c r="O30" s="349"/>
      <c r="P30" s="349"/>
      <c r="Q30" s="55"/>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13"/>
    </row>
    <row r="31" spans="1:45" s="90" customFormat="1" ht="12" customHeight="1" x14ac:dyDescent="0.15">
      <c r="A31" s="51"/>
      <c r="B31" s="51"/>
      <c r="C31" s="51"/>
      <c r="D31" s="51"/>
      <c r="E31" s="51"/>
      <c r="F31" s="85"/>
      <c r="G31" s="86"/>
      <c r="H31" s="348"/>
      <c r="I31" s="348"/>
      <c r="J31" s="348"/>
      <c r="K31" s="348"/>
      <c r="L31" s="86"/>
      <c r="M31" s="86"/>
      <c r="N31" s="88"/>
      <c r="O31" s="349"/>
      <c r="P31" s="349"/>
      <c r="Q31" s="55"/>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13"/>
    </row>
    <row r="32" spans="1:45" s="90" customFormat="1" ht="12" customHeight="1" x14ac:dyDescent="0.15">
      <c r="A32" s="51"/>
      <c r="B32" s="51"/>
      <c r="C32" s="51"/>
      <c r="D32" s="51"/>
      <c r="E32" s="51"/>
      <c r="F32" s="85"/>
      <c r="G32" s="86"/>
      <c r="H32" s="348"/>
      <c r="I32" s="348"/>
      <c r="J32" s="348"/>
      <c r="K32" s="348"/>
      <c r="L32" s="86"/>
      <c r="M32" s="86"/>
      <c r="N32" s="88"/>
      <c r="O32" s="349"/>
      <c r="P32" s="349"/>
      <c r="Q32" s="55"/>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13"/>
    </row>
    <row r="33" spans="1:45" s="90" customFormat="1" ht="12" customHeight="1" x14ac:dyDescent="0.15">
      <c r="A33" s="51"/>
      <c r="B33" s="51"/>
      <c r="C33" s="51"/>
      <c r="D33" s="51"/>
      <c r="E33" s="51"/>
      <c r="F33" s="85"/>
      <c r="G33" s="86"/>
      <c r="H33" s="348"/>
      <c r="I33" s="348"/>
      <c r="J33" s="348"/>
      <c r="K33" s="348"/>
      <c r="L33" s="86"/>
      <c r="M33" s="86"/>
      <c r="N33" s="88"/>
      <c r="O33" s="349"/>
      <c r="P33" s="349"/>
      <c r="Q33" s="55"/>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13"/>
    </row>
    <row r="34" spans="1:45" s="90" customFormat="1" ht="12" customHeight="1" x14ac:dyDescent="0.15">
      <c r="A34" s="51"/>
      <c r="B34" s="51"/>
      <c r="C34" s="51"/>
      <c r="D34" s="51"/>
      <c r="E34" s="51"/>
      <c r="F34" s="85"/>
      <c r="G34" s="86"/>
      <c r="H34" s="348"/>
      <c r="I34" s="348"/>
      <c r="J34" s="348"/>
      <c r="K34" s="348"/>
      <c r="L34" s="86"/>
      <c r="M34" s="86"/>
      <c r="N34" s="88"/>
      <c r="O34" s="349"/>
      <c r="P34" s="349"/>
      <c r="Q34" s="55"/>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13"/>
    </row>
    <row r="35" spans="1:45" s="90" customFormat="1" ht="12" customHeight="1" x14ac:dyDescent="0.15">
      <c r="A35" s="51"/>
      <c r="B35" s="51"/>
      <c r="C35" s="51"/>
      <c r="D35" s="51"/>
      <c r="E35" s="51"/>
      <c r="F35" s="85"/>
      <c r="G35" s="86"/>
      <c r="H35" s="348"/>
      <c r="I35" s="348"/>
      <c r="J35" s="348"/>
      <c r="K35" s="348"/>
      <c r="L35" s="86"/>
      <c r="M35" s="86"/>
      <c r="N35" s="88"/>
      <c r="O35" s="349"/>
      <c r="P35" s="349"/>
      <c r="Q35" s="55"/>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13"/>
    </row>
    <row r="36" spans="1:45" s="90" customFormat="1" ht="12" customHeight="1" x14ac:dyDescent="0.15">
      <c r="A36" s="51"/>
      <c r="B36" s="51"/>
      <c r="C36" s="51"/>
      <c r="D36" s="51"/>
      <c r="E36" s="51"/>
      <c r="F36" s="85"/>
      <c r="G36" s="86"/>
      <c r="H36" s="348"/>
      <c r="I36" s="348"/>
      <c r="J36" s="348"/>
      <c r="K36" s="348"/>
      <c r="L36" s="86"/>
      <c r="M36" s="86"/>
      <c r="N36" s="88"/>
      <c r="O36" s="349"/>
      <c r="P36" s="349"/>
      <c r="Q36" s="55"/>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13"/>
    </row>
    <row r="37" spans="1:45" s="90" customFormat="1" ht="12" customHeight="1" x14ac:dyDescent="0.15">
      <c r="A37" s="51"/>
      <c r="B37" s="51"/>
      <c r="C37" s="51"/>
      <c r="D37" s="51"/>
      <c r="E37" s="51"/>
      <c r="F37" s="85"/>
      <c r="G37" s="86"/>
      <c r="H37" s="348"/>
      <c r="I37" s="348"/>
      <c r="J37" s="348"/>
      <c r="K37" s="348"/>
      <c r="L37" s="86"/>
      <c r="M37" s="86"/>
      <c r="N37" s="88"/>
      <c r="O37" s="349"/>
      <c r="P37" s="349"/>
      <c r="Q37" s="55"/>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13"/>
    </row>
    <row r="38" spans="1:45" s="90" customFormat="1" ht="12" customHeight="1" x14ac:dyDescent="0.15">
      <c r="A38" s="51"/>
      <c r="B38" s="51"/>
      <c r="C38" s="51"/>
      <c r="D38" s="51"/>
      <c r="E38" s="51"/>
      <c r="F38" s="85"/>
      <c r="G38" s="86"/>
      <c r="H38" s="348"/>
      <c r="I38" s="348"/>
      <c r="J38" s="348"/>
      <c r="K38" s="348"/>
      <c r="L38" s="86"/>
      <c r="M38" s="86"/>
      <c r="N38" s="88"/>
      <c r="O38" s="349"/>
      <c r="P38" s="349"/>
      <c r="Q38" s="55"/>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13"/>
    </row>
    <row r="39" spans="1:45" s="90" customFormat="1" ht="12" customHeight="1" x14ac:dyDescent="0.15">
      <c r="A39" s="51"/>
      <c r="B39" s="51"/>
      <c r="C39" s="51"/>
      <c r="D39" s="51"/>
      <c r="E39" s="51"/>
      <c r="F39" s="85"/>
      <c r="G39" s="86"/>
      <c r="H39" s="348"/>
      <c r="I39" s="348"/>
      <c r="J39" s="348"/>
      <c r="K39" s="348"/>
      <c r="L39" s="86"/>
      <c r="M39" s="86"/>
      <c r="N39" s="88"/>
      <c r="O39" s="349"/>
      <c r="P39" s="349"/>
      <c r="Q39" s="55"/>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13"/>
    </row>
    <row r="40" spans="1:45" s="90" customFormat="1" ht="12" customHeight="1" x14ac:dyDescent="0.15">
      <c r="A40" s="51"/>
      <c r="B40" s="51"/>
      <c r="C40" s="51"/>
      <c r="D40" s="51"/>
      <c r="E40" s="51"/>
      <c r="F40" s="85"/>
      <c r="G40" s="86"/>
      <c r="H40" s="348"/>
      <c r="I40" s="348"/>
      <c r="J40" s="348"/>
      <c r="K40" s="348"/>
      <c r="L40" s="86"/>
      <c r="M40" s="86"/>
      <c r="N40" s="88"/>
      <c r="O40" s="349"/>
      <c r="P40" s="349"/>
      <c r="Q40" s="55"/>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13"/>
    </row>
    <row r="41" spans="1:45" s="90" customFormat="1" ht="12" customHeight="1" x14ac:dyDescent="0.15">
      <c r="A41" s="51"/>
      <c r="B41" s="51"/>
      <c r="C41" s="51"/>
      <c r="D41" s="51"/>
      <c r="E41" s="51"/>
      <c r="F41" s="85"/>
      <c r="G41" s="86"/>
      <c r="H41" s="348"/>
      <c r="I41" s="348"/>
      <c r="J41" s="348"/>
      <c r="K41" s="348"/>
      <c r="L41" s="86"/>
      <c r="M41" s="86"/>
      <c r="N41" s="88"/>
      <c r="O41" s="349"/>
      <c r="P41" s="349"/>
      <c r="Q41" s="55"/>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13"/>
    </row>
    <row r="42" spans="1:45" s="90" customFormat="1" ht="12" customHeight="1" x14ac:dyDescent="0.15">
      <c r="A42" s="51"/>
      <c r="B42" s="51"/>
      <c r="C42" s="51"/>
      <c r="D42" s="51"/>
      <c r="E42" s="51"/>
      <c r="F42" s="85"/>
      <c r="G42" s="86"/>
      <c r="H42" s="348"/>
      <c r="I42" s="348"/>
      <c r="J42" s="348"/>
      <c r="K42" s="348"/>
      <c r="L42" s="86"/>
      <c r="M42" s="86"/>
      <c r="N42" s="88"/>
      <c r="O42" s="349"/>
      <c r="P42" s="349"/>
      <c r="Q42" s="55"/>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13"/>
    </row>
    <row r="43" spans="1:45" s="90" customFormat="1" ht="12" customHeight="1" x14ac:dyDescent="0.15">
      <c r="A43" s="51"/>
      <c r="B43" s="51"/>
      <c r="C43" s="51"/>
      <c r="D43" s="51"/>
      <c r="E43" s="51"/>
      <c r="F43" s="85"/>
      <c r="G43" s="86"/>
      <c r="H43" s="348"/>
      <c r="I43" s="348"/>
      <c r="J43" s="348"/>
      <c r="K43" s="348"/>
      <c r="L43" s="86"/>
      <c r="M43" s="86"/>
      <c r="N43" s="88"/>
      <c r="O43" s="349"/>
      <c r="P43" s="349"/>
      <c r="Q43" s="55"/>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13"/>
    </row>
    <row r="44" spans="1:45" s="90" customFormat="1" ht="12" customHeight="1" x14ac:dyDescent="0.15">
      <c r="A44" s="372"/>
      <c r="B44" s="51"/>
      <c r="C44" s="51"/>
      <c r="D44" s="51"/>
      <c r="E44" s="51"/>
      <c r="F44" s="85"/>
      <c r="G44" s="86"/>
      <c r="H44" s="348"/>
      <c r="I44" s="348"/>
      <c r="J44" s="348"/>
      <c r="K44" s="348"/>
      <c r="L44" s="86"/>
      <c r="M44" s="86"/>
      <c r="N44" s="88"/>
      <c r="O44" s="349"/>
      <c r="P44" s="349"/>
      <c r="Q44" s="55"/>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13"/>
    </row>
    <row r="45" spans="1:45" s="90" customFormat="1" ht="12" customHeight="1" x14ac:dyDescent="0.15">
      <c r="A45" s="51"/>
      <c r="B45" s="51"/>
      <c r="C45" s="51"/>
      <c r="D45" s="51"/>
      <c r="E45" s="51"/>
      <c r="F45" s="85"/>
      <c r="G45" s="86"/>
      <c r="H45" s="348"/>
      <c r="I45" s="348"/>
      <c r="J45" s="348"/>
      <c r="K45" s="348"/>
      <c r="L45" s="86"/>
      <c r="M45" s="86"/>
      <c r="N45" s="88"/>
      <c r="O45" s="349"/>
      <c r="P45" s="349"/>
      <c r="Q45" s="55"/>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13"/>
    </row>
    <row r="46" spans="1:45" s="90" customFormat="1" ht="12" customHeight="1" x14ac:dyDescent="0.15">
      <c r="A46" s="51"/>
      <c r="B46" s="51"/>
      <c r="C46" s="51"/>
      <c r="D46" s="51"/>
      <c r="E46" s="51"/>
      <c r="F46" s="85"/>
      <c r="G46" s="86"/>
      <c r="H46" s="348"/>
      <c r="I46" s="348"/>
      <c r="J46" s="348"/>
      <c r="K46" s="348"/>
      <c r="L46" s="86"/>
      <c r="M46" s="86"/>
      <c r="N46" s="88"/>
      <c r="O46" s="349"/>
      <c r="P46" s="349"/>
      <c r="Q46" s="55"/>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13"/>
    </row>
    <row r="47" spans="1:45" s="90" customFormat="1" ht="12" customHeight="1" x14ac:dyDescent="0.15">
      <c r="A47" s="51"/>
      <c r="B47" s="51"/>
      <c r="C47" s="51"/>
      <c r="D47" s="51"/>
      <c r="E47" s="51"/>
      <c r="F47" s="85"/>
      <c r="G47" s="86"/>
      <c r="H47" s="348"/>
      <c r="I47" s="348"/>
      <c r="J47" s="348"/>
      <c r="K47" s="348"/>
      <c r="L47" s="86"/>
      <c r="M47" s="86"/>
      <c r="N47" s="88"/>
      <c r="O47" s="349"/>
      <c r="P47" s="349"/>
      <c r="Q47" s="55"/>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13"/>
    </row>
    <row r="48" spans="1:45" s="90" customFormat="1" ht="12" customHeight="1" x14ac:dyDescent="0.15">
      <c r="A48" s="51"/>
      <c r="B48" s="51"/>
      <c r="C48" s="51"/>
      <c r="D48" s="51"/>
      <c r="E48" s="51"/>
      <c r="F48" s="85"/>
      <c r="G48" s="86"/>
      <c r="H48" s="348"/>
      <c r="I48" s="348"/>
      <c r="J48" s="348"/>
      <c r="K48" s="348"/>
      <c r="L48" s="86"/>
      <c r="M48" s="86"/>
      <c r="N48" s="88"/>
      <c r="O48" s="349"/>
      <c r="P48" s="349"/>
      <c r="Q48" s="55"/>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13"/>
    </row>
    <row r="49" spans="1:47" s="90" customFormat="1" ht="12" customHeight="1" x14ac:dyDescent="0.15">
      <c r="A49" s="51"/>
      <c r="B49" s="51"/>
      <c r="C49" s="51"/>
      <c r="D49" s="51"/>
      <c r="E49" s="51"/>
      <c r="F49" s="85"/>
      <c r="G49" s="86"/>
      <c r="H49" s="348"/>
      <c r="I49" s="348"/>
      <c r="J49" s="348"/>
      <c r="K49" s="348"/>
      <c r="L49" s="86"/>
      <c r="M49" s="86"/>
      <c r="N49" s="88"/>
      <c r="O49" s="349"/>
      <c r="P49" s="349"/>
      <c r="Q49" s="55"/>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13"/>
    </row>
    <row r="50" spans="1:47" s="90" customFormat="1" ht="12" customHeight="1" x14ac:dyDescent="0.15">
      <c r="A50" s="51"/>
      <c r="B50" s="51"/>
      <c r="C50" s="51"/>
      <c r="D50" s="51"/>
      <c r="E50" s="51"/>
      <c r="F50" s="85"/>
      <c r="G50" s="86"/>
      <c r="H50" s="348"/>
      <c r="I50" s="348"/>
      <c r="J50" s="348"/>
      <c r="K50" s="348"/>
      <c r="L50" s="86"/>
      <c r="M50" s="86"/>
      <c r="N50" s="88"/>
      <c r="O50" s="349"/>
      <c r="P50" s="349"/>
      <c r="Q50" s="55"/>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13"/>
    </row>
    <row r="51" spans="1:47" s="90" customFormat="1" ht="12" customHeight="1" x14ac:dyDescent="0.15">
      <c r="A51" s="51"/>
      <c r="B51" s="51"/>
      <c r="C51" s="51"/>
      <c r="D51" s="51"/>
      <c r="E51" s="51"/>
      <c r="F51" s="85"/>
      <c r="G51" s="86"/>
      <c r="H51" s="348"/>
      <c r="I51" s="348"/>
      <c r="J51" s="348"/>
      <c r="K51" s="348"/>
      <c r="L51" s="86"/>
      <c r="M51" s="86"/>
      <c r="N51" s="88"/>
      <c r="O51" s="349"/>
      <c r="P51" s="349"/>
      <c r="Q51" s="55"/>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13"/>
    </row>
    <row r="52" spans="1:47" s="90" customFormat="1" ht="12" customHeight="1" x14ac:dyDescent="0.15">
      <c r="A52" s="51"/>
      <c r="B52" s="51"/>
      <c r="C52" s="51"/>
      <c r="D52" s="51"/>
      <c r="E52" s="51"/>
      <c r="F52" s="85"/>
      <c r="G52" s="86"/>
      <c r="H52" s="348"/>
      <c r="I52" s="348"/>
      <c r="J52" s="348"/>
      <c r="K52" s="348"/>
      <c r="L52" s="86"/>
      <c r="M52" s="86"/>
      <c r="N52" s="88"/>
      <c r="O52" s="349"/>
      <c r="P52" s="349"/>
      <c r="Q52" s="55"/>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13"/>
    </row>
    <row r="53" spans="1:47" s="90" customFormat="1" ht="12" customHeight="1" x14ac:dyDescent="0.15">
      <c r="A53" s="51"/>
      <c r="B53" s="51"/>
      <c r="C53" s="51"/>
      <c r="D53" s="51"/>
      <c r="E53" s="51"/>
      <c r="F53" s="85"/>
      <c r="G53" s="86"/>
      <c r="H53" s="348"/>
      <c r="I53" s="348"/>
      <c r="J53" s="348"/>
      <c r="K53" s="348"/>
      <c r="L53" s="86"/>
      <c r="M53" s="86"/>
      <c r="N53" s="88"/>
      <c r="O53" s="349"/>
      <c r="P53" s="349"/>
      <c r="Q53" s="55"/>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13"/>
    </row>
    <row r="54" spans="1:47" s="90" customFormat="1" ht="12" customHeight="1" x14ac:dyDescent="0.15">
      <c r="A54" s="51"/>
      <c r="B54" s="51"/>
      <c r="C54" s="51"/>
      <c r="D54" s="51"/>
      <c r="E54" s="51"/>
      <c r="F54" s="85"/>
      <c r="G54" s="86"/>
      <c r="H54" s="348"/>
      <c r="I54" s="348"/>
      <c r="J54" s="348"/>
      <c r="K54" s="348"/>
      <c r="L54" s="86"/>
      <c r="M54" s="86"/>
      <c r="N54" s="88"/>
      <c r="O54" s="349"/>
      <c r="P54" s="349"/>
      <c r="Q54" s="55"/>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13"/>
    </row>
    <row r="55" spans="1:47" s="90" customFormat="1" ht="12" customHeight="1" x14ac:dyDescent="0.15">
      <c r="A55" s="51"/>
      <c r="B55" s="51"/>
      <c r="C55" s="51"/>
      <c r="D55" s="51"/>
      <c r="E55" s="51"/>
      <c r="F55" s="85"/>
      <c r="G55" s="86"/>
      <c r="H55" s="348"/>
      <c r="I55" s="348"/>
      <c r="J55" s="348"/>
      <c r="K55" s="348"/>
      <c r="L55" s="86"/>
      <c r="M55" s="86"/>
      <c r="N55" s="88"/>
      <c r="O55" s="349"/>
      <c r="P55" s="349"/>
      <c r="Q55" s="55"/>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13"/>
    </row>
    <row r="56" spans="1:47" s="90" customFormat="1" ht="12" customHeight="1" x14ac:dyDescent="0.15">
      <c r="A56" s="51"/>
      <c r="B56" s="51"/>
      <c r="C56" s="51"/>
      <c r="D56" s="51"/>
      <c r="E56" s="51"/>
      <c r="F56" s="85"/>
      <c r="G56" s="86"/>
      <c r="H56" s="348"/>
      <c r="I56" s="348"/>
      <c r="J56" s="348"/>
      <c r="K56" s="348"/>
      <c r="L56" s="86"/>
      <c r="M56" s="86"/>
      <c r="N56" s="88"/>
      <c r="O56" s="349"/>
      <c r="P56" s="349"/>
      <c r="Q56" s="55"/>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13"/>
    </row>
    <row r="57" spans="1:47" s="90" customFormat="1" ht="12" customHeight="1" x14ac:dyDescent="0.15">
      <c r="A57" s="51"/>
      <c r="B57" s="51"/>
      <c r="C57" s="51"/>
      <c r="D57" s="51"/>
      <c r="E57" s="51"/>
      <c r="F57" s="85"/>
      <c r="G57" s="86"/>
      <c r="H57" s="348"/>
      <c r="I57" s="348"/>
      <c r="J57" s="348"/>
      <c r="K57" s="348"/>
      <c r="L57" s="86"/>
      <c r="M57" s="86"/>
      <c r="N57" s="88"/>
      <c r="O57" s="349"/>
      <c r="P57" s="349"/>
      <c r="Q57" s="55"/>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13"/>
    </row>
    <row r="58" spans="1:47" s="90" customFormat="1" ht="12" customHeight="1" x14ac:dyDescent="0.15">
      <c r="A58" s="130"/>
      <c r="B58" s="70"/>
      <c r="C58" s="70"/>
      <c r="D58" s="6"/>
      <c r="E58" s="70"/>
      <c r="F58" s="91"/>
      <c r="G58" s="92"/>
      <c r="H58" s="93"/>
      <c r="I58" s="93"/>
      <c r="J58" s="93"/>
      <c r="K58" s="93"/>
      <c r="L58" s="92"/>
      <c r="M58" s="120"/>
      <c r="N58" s="120"/>
      <c r="O58" s="120"/>
      <c r="P58" s="94"/>
      <c r="Q58" s="95"/>
      <c r="R58" s="95"/>
      <c r="S58" s="67"/>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13"/>
    </row>
    <row r="59" spans="1:47" s="90" customFormat="1" ht="12" customHeight="1" x14ac:dyDescent="0.15">
      <c r="A59" s="51"/>
      <c r="B59" s="51"/>
      <c r="C59" s="51"/>
      <c r="D59" s="51"/>
      <c r="E59" s="51"/>
      <c r="F59" s="85"/>
      <c r="G59" s="86"/>
      <c r="H59" s="348"/>
      <c r="I59" s="348"/>
      <c r="J59" s="348"/>
      <c r="K59" s="348"/>
      <c r="L59" s="86"/>
      <c r="M59" s="86"/>
      <c r="N59" s="88"/>
      <c r="O59" s="349"/>
      <c r="P59" s="349"/>
      <c r="Q59" s="55"/>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13"/>
    </row>
    <row r="60" spans="1:47" s="90" customFormat="1" ht="12" customHeight="1" x14ac:dyDescent="0.15">
      <c r="A60" s="51"/>
      <c r="B60" s="51"/>
      <c r="C60" s="51"/>
      <c r="D60" s="51"/>
      <c r="E60" s="51"/>
      <c r="F60" s="85"/>
      <c r="G60" s="86"/>
      <c r="H60" s="348"/>
      <c r="I60" s="348"/>
      <c r="J60" s="348"/>
      <c r="K60" s="348"/>
      <c r="L60" s="86"/>
      <c r="M60" s="86"/>
      <c r="N60" s="88"/>
      <c r="O60" s="349"/>
      <c r="P60" s="349"/>
      <c r="Q60" s="55"/>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13"/>
    </row>
    <row r="61" spans="1:47" s="90" customFormat="1" ht="12" customHeight="1" x14ac:dyDescent="0.15">
      <c r="A61" s="51"/>
      <c r="B61" s="51"/>
      <c r="C61" s="51"/>
      <c r="D61" s="51"/>
      <c r="E61" s="51"/>
      <c r="F61" s="85"/>
      <c r="G61" s="86"/>
      <c r="H61" s="348"/>
      <c r="I61" s="348"/>
      <c r="J61" s="348"/>
      <c r="K61" s="348"/>
      <c r="L61" s="86"/>
      <c r="M61" s="86"/>
      <c r="N61" s="88"/>
      <c r="O61" s="349"/>
      <c r="P61" s="349"/>
      <c r="Q61" s="55"/>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13"/>
    </row>
    <row r="62" spans="1:47" s="90" customFormat="1" ht="12" customHeight="1" x14ac:dyDescent="0.15">
      <c r="A62" s="51"/>
      <c r="B62" s="51"/>
      <c r="C62" s="51"/>
      <c r="D62" s="51"/>
      <c r="E62" s="51"/>
      <c r="F62" s="85"/>
      <c r="G62" s="86"/>
      <c r="H62" s="348"/>
      <c r="I62" s="348"/>
      <c r="J62" s="348"/>
      <c r="K62" s="348"/>
      <c r="L62" s="86"/>
      <c r="M62" s="86"/>
      <c r="N62" s="88"/>
      <c r="O62" s="349"/>
      <c r="P62" s="349"/>
      <c r="Q62" s="55"/>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13"/>
    </row>
    <row r="63" spans="1:47" s="90" customFormat="1" ht="12" customHeight="1" x14ac:dyDescent="0.15">
      <c r="A63" s="51"/>
      <c r="B63" s="51"/>
      <c r="C63" s="51"/>
      <c r="D63" s="51"/>
      <c r="E63" s="51"/>
      <c r="F63" s="85"/>
      <c r="G63" s="86"/>
      <c r="H63" s="348"/>
      <c r="I63" s="348"/>
      <c r="J63" s="348"/>
      <c r="K63" s="348"/>
      <c r="L63" s="86"/>
      <c r="M63" s="86"/>
      <c r="N63" s="88"/>
      <c r="O63" s="349"/>
      <c r="P63" s="349"/>
      <c r="Q63" s="55"/>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13"/>
    </row>
    <row r="64" spans="1:47" s="90" customFormat="1" ht="12" customHeight="1" x14ac:dyDescent="0.15">
      <c r="A64" s="51"/>
      <c r="B64" s="51"/>
      <c r="C64" s="51"/>
      <c r="D64" s="51"/>
      <c r="E64" s="51"/>
      <c r="F64" s="85"/>
      <c r="G64" s="86"/>
      <c r="H64" s="348"/>
      <c r="I64" s="348"/>
      <c r="J64" s="348"/>
      <c r="K64" s="348"/>
      <c r="L64" s="86"/>
      <c r="M64" s="86"/>
      <c r="N64" s="88"/>
      <c r="O64" s="349"/>
      <c r="P64" s="349"/>
      <c r="Q64" s="55"/>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13"/>
    </row>
    <row r="65" spans="1:56" s="90" customFormat="1" ht="12" customHeight="1" x14ac:dyDescent="0.15">
      <c r="A65" s="51"/>
      <c r="B65" s="51"/>
      <c r="C65" s="51"/>
      <c r="D65" s="51"/>
      <c r="E65" s="51"/>
      <c r="F65" s="85"/>
      <c r="G65" s="86"/>
      <c r="H65" s="348"/>
      <c r="I65" s="348"/>
      <c r="J65" s="348"/>
      <c r="K65" s="348"/>
      <c r="L65" s="86"/>
      <c r="M65" s="86"/>
      <c r="N65" s="88"/>
      <c r="O65" s="349"/>
      <c r="P65" s="349"/>
      <c r="Q65" s="55"/>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13"/>
    </row>
    <row r="66" spans="1:56" s="90" customFormat="1" ht="12" customHeight="1" x14ac:dyDescent="0.15">
      <c r="A66" s="51"/>
      <c r="B66" s="51"/>
      <c r="C66" s="51"/>
      <c r="D66" s="51"/>
      <c r="E66" s="51"/>
      <c r="F66" s="85"/>
      <c r="G66" s="86"/>
      <c r="H66" s="348"/>
      <c r="I66" s="348"/>
      <c r="J66" s="348"/>
      <c r="K66" s="348"/>
      <c r="L66" s="86"/>
      <c r="M66" s="86"/>
      <c r="N66" s="88"/>
      <c r="O66" s="349"/>
      <c r="P66" s="349"/>
      <c r="Q66" s="55"/>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13"/>
    </row>
    <row r="67" spans="1:56" s="90" customFormat="1" ht="12" customHeight="1" x14ac:dyDescent="0.15">
      <c r="A67" s="51"/>
      <c r="B67" s="51"/>
      <c r="C67" s="51"/>
      <c r="D67" s="51"/>
      <c r="E67" s="51"/>
      <c r="F67" s="85"/>
      <c r="G67" s="86"/>
      <c r="H67" s="348"/>
      <c r="I67" s="348"/>
      <c r="J67" s="348"/>
      <c r="K67" s="348"/>
      <c r="L67" s="86"/>
      <c r="M67" s="86"/>
      <c r="N67" s="88"/>
      <c r="O67" s="349"/>
      <c r="P67" s="349"/>
      <c r="Q67" s="55"/>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13"/>
    </row>
    <row r="68" spans="1:56" s="90" customFormat="1" ht="12" customHeight="1" x14ac:dyDescent="0.15">
      <c r="A68" s="51"/>
      <c r="B68" s="51"/>
      <c r="C68" s="51"/>
      <c r="D68" s="51"/>
      <c r="E68" s="51"/>
      <c r="F68" s="85"/>
      <c r="G68" s="86"/>
      <c r="H68" s="348"/>
      <c r="I68" s="348"/>
      <c r="J68" s="348"/>
      <c r="K68" s="348"/>
      <c r="L68" s="86"/>
      <c r="M68" s="86"/>
      <c r="N68" s="88"/>
      <c r="O68" s="349"/>
      <c r="P68" s="349"/>
      <c r="Q68" s="55"/>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13"/>
    </row>
    <row r="69" spans="1:56" s="90" customFormat="1" ht="12" customHeight="1" x14ac:dyDescent="0.15">
      <c r="A69" s="51"/>
      <c r="B69" s="51"/>
      <c r="C69" s="51"/>
      <c r="D69" s="51"/>
      <c r="E69" s="51"/>
      <c r="F69" s="85"/>
      <c r="G69" s="86"/>
      <c r="H69" s="348"/>
      <c r="I69" s="348"/>
      <c r="J69" s="348"/>
      <c r="K69" s="348"/>
      <c r="L69" s="86"/>
      <c r="M69" s="86"/>
      <c r="N69" s="88"/>
      <c r="O69" s="349"/>
      <c r="P69" s="349"/>
      <c r="Q69" s="55"/>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13"/>
    </row>
    <row r="70" spans="1:56" s="90" customFormat="1" ht="12" customHeight="1" x14ac:dyDescent="0.15">
      <c r="A70" s="51"/>
      <c r="B70" s="51"/>
      <c r="C70" s="51"/>
      <c r="D70" s="51"/>
      <c r="E70" s="51"/>
      <c r="F70" s="85"/>
      <c r="G70" s="86"/>
      <c r="H70" s="348"/>
      <c r="I70" s="348"/>
      <c r="J70" s="348"/>
      <c r="K70" s="348"/>
      <c r="L70" s="86"/>
      <c r="M70" s="86"/>
      <c r="N70" s="88"/>
      <c r="O70" s="349"/>
      <c r="P70" s="349"/>
      <c r="Q70" s="55"/>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13"/>
    </row>
    <row r="71" spans="1:56" s="90" customFormat="1" ht="12" customHeight="1" x14ac:dyDescent="0.15">
      <c r="A71" s="51"/>
      <c r="B71" s="51"/>
      <c r="C71" s="51"/>
      <c r="D71" s="51"/>
      <c r="E71" s="51"/>
      <c r="F71" s="85"/>
      <c r="G71" s="86"/>
      <c r="H71" s="348"/>
      <c r="I71" s="348"/>
      <c r="J71" s="348"/>
      <c r="K71" s="348"/>
      <c r="L71" s="86"/>
      <c r="M71" s="86"/>
      <c r="N71" s="88"/>
      <c r="O71" s="349"/>
      <c r="P71" s="349"/>
      <c r="Q71" s="55"/>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13"/>
    </row>
    <row r="72" spans="1:56" s="90" customFormat="1" ht="12" customHeight="1" x14ac:dyDescent="0.15">
      <c r="A72" s="51"/>
      <c r="B72" s="51"/>
      <c r="C72" s="51"/>
      <c r="D72" s="51"/>
      <c r="E72" s="51"/>
      <c r="F72" s="85"/>
      <c r="G72" s="86"/>
      <c r="H72" s="348"/>
      <c r="I72" s="348"/>
      <c r="J72" s="348"/>
      <c r="K72" s="348"/>
      <c r="L72" s="86"/>
      <c r="M72" s="86"/>
      <c r="N72" s="88"/>
      <c r="O72" s="349"/>
      <c r="P72" s="349"/>
      <c r="Q72" s="55"/>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13"/>
    </row>
    <row r="73" spans="1:56" s="90" customFormat="1" ht="12" customHeight="1" x14ac:dyDescent="0.15">
      <c r="A73" s="51"/>
      <c r="B73" s="51"/>
      <c r="C73" s="51"/>
      <c r="D73" s="51"/>
      <c r="E73" s="51"/>
      <c r="F73" s="85"/>
      <c r="G73" s="86"/>
      <c r="H73" s="348"/>
      <c r="I73" s="348"/>
      <c r="J73" s="348"/>
      <c r="K73" s="348"/>
      <c r="L73" s="86"/>
      <c r="M73" s="86"/>
      <c r="N73" s="88"/>
      <c r="O73" s="349"/>
      <c r="P73" s="349"/>
      <c r="Q73" s="55"/>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13"/>
    </row>
    <row r="74" spans="1:56" s="14" customFormat="1" x14ac:dyDescent="0.15">
      <c r="A74" s="6"/>
      <c r="B74" s="6"/>
      <c r="C74" s="6"/>
      <c r="D74" s="6"/>
      <c r="E74" s="6"/>
      <c r="F74" s="101"/>
      <c r="G74" s="102"/>
      <c r="H74" s="103"/>
      <c r="I74" s="103"/>
      <c r="J74" s="103"/>
      <c r="K74" s="103"/>
      <c r="L74" s="21"/>
      <c r="M74" s="21"/>
      <c r="N74" s="75"/>
      <c r="O74" s="75"/>
      <c r="P74" s="6"/>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row>
    <row r="75" spans="1:56" s="14" customFormat="1" x14ac:dyDescent="0.15">
      <c r="A75" s="6"/>
      <c r="B75" s="6"/>
      <c r="C75" s="6"/>
      <c r="D75" s="6"/>
      <c r="E75" s="6"/>
      <c r="F75" s="101"/>
      <c r="G75" s="102"/>
      <c r="H75" s="104"/>
      <c r="I75" s="104"/>
      <c r="J75" s="104"/>
      <c r="K75" s="104"/>
      <c r="L75" s="21"/>
      <c r="M75" s="21"/>
      <c r="N75" s="75"/>
      <c r="O75" s="75"/>
      <c r="P75" s="6"/>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row>
    <row r="76" spans="1:56" s="14" customFormat="1" x14ac:dyDescent="0.15">
      <c r="A76" s="6"/>
      <c r="B76" s="6"/>
      <c r="C76" s="6"/>
      <c r="D76" s="6"/>
      <c r="E76" s="6"/>
      <c r="F76" s="101"/>
      <c r="G76" s="102"/>
      <c r="H76" s="104"/>
      <c r="I76" s="104"/>
      <c r="J76" s="104"/>
      <c r="K76" s="104"/>
      <c r="L76" s="21"/>
      <c r="M76" s="21"/>
      <c r="N76" s="75"/>
      <c r="O76" s="75"/>
      <c r="P76" s="6"/>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row>
    <row r="77" spans="1:56" s="14" customFormat="1" x14ac:dyDescent="0.15">
      <c r="A77" s="6"/>
      <c r="B77" s="6"/>
      <c r="C77" s="6"/>
      <c r="D77" s="6"/>
      <c r="E77" s="6"/>
      <c r="F77" s="101"/>
      <c r="G77" s="102"/>
      <c r="H77" s="104"/>
      <c r="I77" s="104"/>
      <c r="J77" s="104"/>
      <c r="K77" s="104"/>
      <c r="L77" s="21"/>
      <c r="M77" s="21"/>
      <c r="N77" s="75"/>
      <c r="O77" s="75"/>
      <c r="P77" s="6"/>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row>
    <row r="78" spans="1:56" s="14" customFormat="1" x14ac:dyDescent="0.15">
      <c r="A78" s="6"/>
      <c r="B78" s="6"/>
      <c r="C78" s="6"/>
      <c r="D78" s="6"/>
      <c r="E78" s="6"/>
      <c r="F78" s="101"/>
      <c r="G78" s="102"/>
      <c r="H78" s="104"/>
      <c r="I78" s="104"/>
      <c r="J78" s="104"/>
      <c r="K78" s="104"/>
      <c r="L78" s="21"/>
      <c r="M78" s="21"/>
      <c r="N78" s="75"/>
      <c r="O78" s="75"/>
      <c r="P78" s="6"/>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row>
    <row r="79" spans="1:56" s="14" customFormat="1" x14ac:dyDescent="0.15">
      <c r="A79" s="6"/>
      <c r="B79" s="6"/>
      <c r="C79" s="6"/>
      <c r="D79" s="6"/>
      <c r="E79" s="6"/>
      <c r="F79" s="101"/>
      <c r="G79" s="102"/>
      <c r="H79" s="104"/>
      <c r="I79" s="104"/>
      <c r="J79" s="104"/>
      <c r="K79" s="104"/>
      <c r="L79" s="21"/>
      <c r="M79" s="21"/>
      <c r="N79" s="75"/>
      <c r="O79" s="75"/>
      <c r="P79" s="6"/>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row>
    <row r="80" spans="1:56" s="14" customFormat="1" x14ac:dyDescent="0.15">
      <c r="A80" s="6"/>
      <c r="B80" s="6"/>
      <c r="C80" s="6"/>
      <c r="D80" s="6"/>
      <c r="E80" s="6"/>
      <c r="F80" s="101"/>
      <c r="G80" s="102"/>
      <c r="H80" s="104"/>
      <c r="I80" s="104"/>
      <c r="J80" s="104"/>
      <c r="K80" s="104"/>
      <c r="L80" s="21"/>
      <c r="M80" s="21"/>
      <c r="N80" s="75"/>
      <c r="O80" s="75"/>
      <c r="P80" s="6"/>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row>
    <row r="81" spans="1:56" s="14" customFormat="1" x14ac:dyDescent="0.15">
      <c r="A81" s="6"/>
      <c r="B81" s="6"/>
      <c r="C81" s="6"/>
      <c r="D81" s="6"/>
      <c r="E81" s="6"/>
      <c r="F81" s="101"/>
      <c r="G81" s="102"/>
      <c r="H81" s="104"/>
      <c r="I81" s="104"/>
      <c r="J81" s="104"/>
      <c r="K81" s="104"/>
      <c r="L81" s="21"/>
      <c r="M81" s="21"/>
      <c r="N81" s="75"/>
      <c r="O81" s="75"/>
      <c r="P81" s="6"/>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row>
    <row r="82" spans="1:56" s="14" customFormat="1" x14ac:dyDescent="0.15">
      <c r="A82" s="6"/>
      <c r="B82" s="6"/>
      <c r="C82" s="6"/>
      <c r="D82" s="6"/>
      <c r="E82" s="6"/>
      <c r="F82" s="101"/>
      <c r="G82" s="102"/>
      <c r="H82" s="103"/>
      <c r="I82" s="103"/>
      <c r="J82" s="103"/>
      <c r="K82" s="103"/>
      <c r="L82" s="21"/>
      <c r="M82" s="21"/>
      <c r="N82" s="75"/>
      <c r="O82" s="75"/>
      <c r="P82" s="75"/>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row>
    <row r="83" spans="1:56" s="14" customFormat="1" x14ac:dyDescent="0.15">
      <c r="A83" s="6"/>
      <c r="B83" s="6"/>
      <c r="C83" s="6"/>
      <c r="D83" s="6"/>
      <c r="E83" s="6"/>
      <c r="F83" s="101"/>
      <c r="G83" s="102"/>
      <c r="H83" s="103"/>
      <c r="I83" s="103"/>
      <c r="J83" s="103"/>
      <c r="K83" s="103"/>
      <c r="L83" s="21"/>
      <c r="M83" s="21"/>
      <c r="N83" s="75"/>
      <c r="O83" s="75"/>
      <c r="P83" s="6"/>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row>
    <row r="84" spans="1:56" s="14" customFormat="1" x14ac:dyDescent="0.15">
      <c r="A84" s="6"/>
      <c r="B84" s="6"/>
      <c r="C84" s="6"/>
      <c r="D84" s="6"/>
      <c r="E84" s="6"/>
      <c r="F84" s="101"/>
      <c r="G84" s="102"/>
      <c r="H84" s="103"/>
      <c r="I84" s="103"/>
      <c r="J84" s="103"/>
      <c r="K84" s="103"/>
      <c r="L84" s="21"/>
      <c r="M84" s="21"/>
      <c r="N84" s="75"/>
      <c r="O84" s="75"/>
      <c r="P84" s="6"/>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row>
    <row r="85" spans="1:56" s="14" customFormat="1" x14ac:dyDescent="0.15">
      <c r="A85" s="6"/>
      <c r="B85" s="6"/>
      <c r="C85" s="6"/>
      <c r="D85" s="6"/>
      <c r="E85" s="6"/>
      <c r="F85" s="101"/>
      <c r="G85" s="102"/>
      <c r="H85" s="6"/>
      <c r="I85" s="6"/>
      <c r="J85" s="6"/>
      <c r="K85" s="6"/>
      <c r="L85" s="21"/>
      <c r="M85" s="21"/>
      <c r="N85" s="75"/>
      <c r="O85" s="75"/>
      <c r="P85" s="6"/>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row>
    <row r="86" spans="1:56" s="14" customFormat="1" x14ac:dyDescent="0.15">
      <c r="A86" s="6"/>
      <c r="B86" s="6"/>
      <c r="C86" s="6"/>
      <c r="D86" s="6"/>
      <c r="E86" s="6"/>
      <c r="F86" s="101"/>
      <c r="G86" s="102"/>
      <c r="H86" s="6"/>
      <c r="I86" s="6"/>
      <c r="J86" s="6"/>
      <c r="K86" s="6"/>
      <c r="L86" s="21"/>
      <c r="M86" s="21"/>
      <c r="N86" s="75"/>
      <c r="O86" s="75"/>
      <c r="P86" s="6"/>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row>
    <row r="87" spans="1:56" s="14" customFormat="1" x14ac:dyDescent="0.15">
      <c r="A87" s="6"/>
      <c r="B87" s="6"/>
      <c r="C87" s="6"/>
      <c r="D87" s="6"/>
      <c r="E87" s="6"/>
      <c r="F87" s="101"/>
      <c r="G87" s="102"/>
      <c r="H87" s="6"/>
      <c r="I87" s="6"/>
      <c r="J87" s="6"/>
      <c r="K87" s="6"/>
      <c r="L87" s="21"/>
      <c r="M87" s="21"/>
      <c r="N87" s="75"/>
      <c r="O87" s="75"/>
      <c r="P87" s="6"/>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row>
    <row r="88" spans="1:56" s="14" customFormat="1" x14ac:dyDescent="0.15">
      <c r="A88" s="6"/>
      <c r="B88" s="6"/>
      <c r="C88" s="6"/>
      <c r="D88" s="6"/>
      <c r="E88" s="6"/>
      <c r="F88" s="101"/>
      <c r="G88" s="102"/>
      <c r="H88" s="6"/>
      <c r="I88" s="6"/>
      <c r="J88" s="6"/>
      <c r="K88" s="6"/>
      <c r="L88" s="21"/>
      <c r="M88" s="21"/>
      <c r="N88" s="75"/>
      <c r="O88" s="75"/>
      <c r="P88" s="6"/>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row>
    <row r="89" spans="1:56" s="14" customFormat="1" x14ac:dyDescent="0.15">
      <c r="A89" s="6"/>
      <c r="B89" s="6"/>
      <c r="C89" s="6"/>
      <c r="D89" s="6"/>
      <c r="E89" s="6"/>
      <c r="F89" s="101"/>
      <c r="G89" s="102"/>
      <c r="H89" s="6"/>
      <c r="I89" s="6"/>
      <c r="J89" s="6"/>
      <c r="K89" s="6"/>
      <c r="L89" s="21"/>
      <c r="M89" s="21"/>
      <c r="N89" s="75"/>
      <c r="O89" s="75"/>
      <c r="P89" s="6"/>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row>
    <row r="90" spans="1:56" s="14" customFormat="1" x14ac:dyDescent="0.15">
      <c r="A90" s="6"/>
      <c r="B90" s="6"/>
      <c r="C90" s="6"/>
      <c r="D90" s="6"/>
      <c r="E90" s="6"/>
      <c r="F90" s="101"/>
      <c r="G90" s="102"/>
      <c r="H90" s="6"/>
      <c r="I90" s="6"/>
      <c r="J90" s="6"/>
      <c r="K90" s="6"/>
      <c r="L90" s="21"/>
      <c r="M90" s="21"/>
      <c r="N90" s="75"/>
      <c r="O90" s="75"/>
      <c r="P90" s="6"/>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row>
    <row r="91" spans="1:56" x14ac:dyDescent="0.15">
      <c r="F91" s="105"/>
      <c r="G91" s="106"/>
      <c r="H91" s="6"/>
      <c r="I91" s="6"/>
      <c r="J91" s="6"/>
      <c r="K91" s="6"/>
    </row>
    <row r="92" spans="1:56" x14ac:dyDescent="0.15">
      <c r="H92" s="6"/>
      <c r="I92" s="6"/>
      <c r="J92" s="6"/>
      <c r="K92" s="6"/>
    </row>
    <row r="93" spans="1:56" x14ac:dyDescent="0.15">
      <c r="H93" s="6"/>
      <c r="I93" s="6"/>
      <c r="J93" s="6"/>
      <c r="K93" s="6"/>
    </row>
    <row r="94" spans="1:56" x14ac:dyDescent="0.15">
      <c r="H94" s="6"/>
      <c r="I94" s="6"/>
      <c r="J94" s="6"/>
      <c r="K94" s="6"/>
    </row>
    <row r="98" spans="1:56" x14ac:dyDescent="0.15">
      <c r="F98" s="107"/>
      <c r="G98" s="108"/>
    </row>
    <row r="100" spans="1:56" x14ac:dyDescent="0.15">
      <c r="P100" s="75"/>
    </row>
    <row r="104" spans="1:56" x14ac:dyDescent="0.15">
      <c r="F104" s="109"/>
      <c r="G104" s="34"/>
    </row>
    <row r="105" spans="1:56" x14ac:dyDescent="0.15">
      <c r="F105" s="109"/>
      <c r="G105" s="34"/>
    </row>
    <row r="106" spans="1:56" s="112" customFormat="1" x14ac:dyDescent="0.15">
      <c r="A106" s="110" t="s">
        <v>612</v>
      </c>
      <c r="B106" s="110"/>
      <c r="C106" s="110"/>
      <c r="D106" s="110"/>
      <c r="E106" s="110"/>
      <c r="F106" s="109"/>
      <c r="G106" s="34"/>
      <c r="H106" s="75"/>
      <c r="I106" s="75"/>
      <c r="J106" s="75"/>
      <c r="K106" s="75"/>
      <c r="L106" s="21"/>
      <c r="M106" s="21"/>
      <c r="N106" s="75"/>
      <c r="O106" s="75"/>
      <c r="P106" s="110"/>
      <c r="Q106" s="111"/>
      <c r="R106" s="111"/>
    </row>
    <row r="107" spans="1:56" s="21" customFormat="1" x14ac:dyDescent="0.15">
      <c r="A107" s="6"/>
      <c r="B107" s="6"/>
      <c r="C107" s="6"/>
      <c r="D107" s="6"/>
      <c r="E107" s="6"/>
      <c r="F107" s="109"/>
      <c r="G107" s="34"/>
      <c r="H107" s="75"/>
      <c r="I107" s="75"/>
      <c r="J107" s="75"/>
      <c r="K107" s="75"/>
      <c r="N107" s="75"/>
      <c r="O107" s="75"/>
      <c r="P107" s="6"/>
      <c r="Q107" s="14"/>
      <c r="R107" s="14"/>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row>
    <row r="108" spans="1:56" s="21" customFormat="1" x14ac:dyDescent="0.15">
      <c r="A108" s="113"/>
      <c r="B108" s="6"/>
      <c r="C108" s="6"/>
      <c r="D108" s="6"/>
      <c r="E108" s="6"/>
      <c r="F108" s="109"/>
      <c r="G108" s="34"/>
      <c r="H108" s="75"/>
      <c r="I108" s="75"/>
      <c r="J108" s="75"/>
      <c r="K108" s="75"/>
      <c r="N108" s="75"/>
      <c r="O108" s="75"/>
      <c r="P108" s="6"/>
      <c r="Q108" s="14"/>
      <c r="R108" s="14"/>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row>
    <row r="109" spans="1:56" s="21" customFormat="1" x14ac:dyDescent="0.15">
      <c r="A109" s="113"/>
      <c r="B109" s="6"/>
      <c r="C109" s="6"/>
      <c r="D109" s="6"/>
      <c r="E109" s="6"/>
      <c r="F109" s="109"/>
      <c r="G109" s="34"/>
      <c r="H109" s="75"/>
      <c r="I109" s="75"/>
      <c r="J109" s="75"/>
      <c r="K109" s="75"/>
      <c r="N109" s="75"/>
      <c r="O109" s="75"/>
      <c r="P109" s="6"/>
      <c r="Q109" s="14"/>
      <c r="R109" s="14"/>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row>
    <row r="110" spans="1:56" s="21" customFormat="1" x14ac:dyDescent="0.15">
      <c r="A110" s="113"/>
      <c r="B110" s="6"/>
      <c r="C110" s="6"/>
      <c r="D110" s="6"/>
      <c r="E110" s="6"/>
      <c r="F110" s="101"/>
      <c r="G110" s="102"/>
      <c r="H110" s="75"/>
      <c r="I110" s="75"/>
      <c r="J110" s="75"/>
      <c r="K110" s="75"/>
      <c r="N110" s="75"/>
      <c r="O110" s="75"/>
      <c r="P110" s="6"/>
      <c r="Q110" s="14"/>
      <c r="R110" s="14"/>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row>
    <row r="111" spans="1:56" s="21" customFormat="1" x14ac:dyDescent="0.15">
      <c r="A111" s="113"/>
      <c r="B111" s="6"/>
      <c r="C111" s="6"/>
      <c r="D111" s="6"/>
      <c r="E111" s="6"/>
      <c r="F111" s="101"/>
      <c r="G111" s="102"/>
      <c r="H111" s="75"/>
      <c r="I111" s="75"/>
      <c r="J111" s="75"/>
      <c r="K111" s="75"/>
      <c r="N111" s="75"/>
      <c r="O111" s="75"/>
      <c r="P111" s="6"/>
      <c r="Q111" s="14"/>
      <c r="R111" s="14"/>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row>
    <row r="112" spans="1:56" s="21" customFormat="1" x14ac:dyDescent="0.15">
      <c r="A112" s="113"/>
      <c r="B112" s="6"/>
      <c r="C112" s="6"/>
      <c r="D112" s="6"/>
      <c r="E112" s="6"/>
      <c r="F112" s="101"/>
      <c r="G112" s="102"/>
      <c r="H112" s="75"/>
      <c r="I112" s="75"/>
      <c r="J112" s="75"/>
      <c r="K112" s="75"/>
      <c r="N112" s="75"/>
      <c r="O112" s="75"/>
      <c r="P112" s="6"/>
      <c r="Q112" s="14"/>
      <c r="R112" s="14"/>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row>
    <row r="113" spans="1:56" s="21" customFormat="1" x14ac:dyDescent="0.15">
      <c r="A113" s="113"/>
      <c r="B113" s="6"/>
      <c r="C113" s="6"/>
      <c r="D113" s="6"/>
      <c r="E113" s="6"/>
      <c r="F113" s="101"/>
      <c r="G113" s="102"/>
      <c r="H113" s="75"/>
      <c r="I113" s="75"/>
      <c r="J113" s="75"/>
      <c r="K113" s="75"/>
      <c r="N113" s="75"/>
      <c r="O113" s="75"/>
      <c r="P113" s="6"/>
      <c r="Q113" s="14"/>
      <c r="R113" s="14"/>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row>
    <row r="114" spans="1:56" s="21" customFormat="1" x14ac:dyDescent="0.15">
      <c r="A114" s="113"/>
      <c r="B114" s="6"/>
      <c r="C114" s="6"/>
      <c r="D114" s="6"/>
      <c r="E114" s="6"/>
      <c r="F114" s="101"/>
      <c r="G114" s="102"/>
      <c r="H114" s="75"/>
      <c r="I114" s="75"/>
      <c r="J114" s="75"/>
      <c r="K114" s="75"/>
      <c r="N114" s="75"/>
      <c r="O114" s="75"/>
      <c r="P114" s="6"/>
      <c r="Q114" s="14"/>
      <c r="R114" s="14"/>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row>
    <row r="115" spans="1:56" s="21" customFormat="1" x14ac:dyDescent="0.15">
      <c r="A115" s="113"/>
      <c r="B115" s="6"/>
      <c r="C115" s="6"/>
      <c r="D115" s="6"/>
      <c r="E115" s="6"/>
      <c r="F115" s="101"/>
      <c r="G115" s="102"/>
      <c r="H115" s="75"/>
      <c r="I115" s="75"/>
      <c r="J115" s="75"/>
      <c r="K115" s="75"/>
      <c r="N115" s="75"/>
      <c r="O115" s="75"/>
      <c r="P115" s="6"/>
      <c r="Q115" s="14"/>
      <c r="R115" s="14"/>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row>
    <row r="116" spans="1:56" s="21" customFormat="1" x14ac:dyDescent="0.15">
      <c r="A116" s="113"/>
      <c r="B116" s="6"/>
      <c r="C116" s="6"/>
      <c r="D116" s="6"/>
      <c r="E116" s="6"/>
      <c r="F116" s="101"/>
      <c r="G116" s="102"/>
      <c r="H116" s="75"/>
      <c r="I116" s="75"/>
      <c r="J116" s="75"/>
      <c r="K116" s="75"/>
      <c r="N116" s="75"/>
      <c r="O116" s="75"/>
      <c r="P116" s="6"/>
      <c r="Q116" s="14"/>
      <c r="R116" s="14"/>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row>
    <row r="117" spans="1:56" s="21" customFormat="1" x14ac:dyDescent="0.15">
      <c r="A117" s="113"/>
      <c r="B117" s="6"/>
      <c r="C117" s="6"/>
      <c r="D117" s="6"/>
      <c r="E117" s="6"/>
      <c r="F117" s="101"/>
      <c r="G117" s="102"/>
      <c r="H117" s="75"/>
      <c r="I117" s="75"/>
      <c r="J117" s="75"/>
      <c r="K117" s="75"/>
      <c r="N117" s="75"/>
      <c r="O117" s="75"/>
      <c r="P117" s="6"/>
      <c r="Q117" s="14"/>
      <c r="R117" s="14"/>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row>
    <row r="118" spans="1:56" s="21" customFormat="1" x14ac:dyDescent="0.15">
      <c r="A118" s="113"/>
      <c r="B118" s="6"/>
      <c r="C118" s="6"/>
      <c r="D118" s="6"/>
      <c r="E118" s="6"/>
      <c r="F118" s="101"/>
      <c r="G118" s="102"/>
      <c r="H118" s="75"/>
      <c r="I118" s="75"/>
      <c r="J118" s="75"/>
      <c r="K118" s="75"/>
      <c r="N118" s="75"/>
      <c r="O118" s="75"/>
      <c r="P118" s="6"/>
      <c r="Q118" s="14"/>
      <c r="R118" s="14"/>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row>
    <row r="119" spans="1:56" s="21" customFormat="1" x14ac:dyDescent="0.15">
      <c r="A119" s="113"/>
      <c r="B119" s="6"/>
      <c r="C119" s="6"/>
      <c r="D119" s="6"/>
      <c r="E119" s="6"/>
      <c r="F119" s="101"/>
      <c r="G119" s="102"/>
      <c r="H119" s="75"/>
      <c r="I119" s="75"/>
      <c r="J119" s="75"/>
      <c r="K119" s="75"/>
      <c r="N119" s="75"/>
      <c r="O119" s="75"/>
      <c r="P119" s="6"/>
      <c r="Q119" s="14"/>
      <c r="R119" s="14"/>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row>
    <row r="120" spans="1:56" s="21" customFormat="1" x14ac:dyDescent="0.15">
      <c r="A120" s="113"/>
      <c r="B120" s="6"/>
      <c r="C120" s="6"/>
      <c r="D120" s="6"/>
      <c r="E120" s="6"/>
      <c r="F120" s="101"/>
      <c r="G120" s="102"/>
      <c r="H120" s="75"/>
      <c r="I120" s="75"/>
      <c r="J120" s="75"/>
      <c r="K120" s="75"/>
      <c r="N120" s="75"/>
      <c r="O120" s="75"/>
      <c r="P120" s="6"/>
      <c r="Q120" s="14"/>
      <c r="R120" s="14"/>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row>
    <row r="121" spans="1:56" s="21" customFormat="1" x14ac:dyDescent="0.15">
      <c r="A121" s="113"/>
      <c r="B121" s="6"/>
      <c r="C121" s="6"/>
      <c r="D121" s="6"/>
      <c r="E121" s="6"/>
      <c r="F121" s="101"/>
      <c r="G121" s="102"/>
      <c r="H121" s="75"/>
      <c r="I121" s="75"/>
      <c r="J121" s="75"/>
      <c r="K121" s="75"/>
      <c r="N121" s="75"/>
      <c r="O121" s="75"/>
      <c r="P121" s="6"/>
      <c r="Q121" s="14"/>
      <c r="R121" s="14"/>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row>
    <row r="122" spans="1:56" s="21" customFormat="1" x14ac:dyDescent="0.15">
      <c r="A122" s="113"/>
      <c r="B122" s="6"/>
      <c r="C122" s="6"/>
      <c r="D122" s="6"/>
      <c r="E122" s="6"/>
      <c r="F122" s="101"/>
      <c r="G122" s="102"/>
      <c r="H122" s="75"/>
      <c r="I122" s="75"/>
      <c r="J122" s="75"/>
      <c r="K122" s="75"/>
      <c r="N122" s="75"/>
      <c r="O122" s="75"/>
      <c r="P122" s="6"/>
      <c r="Q122" s="14"/>
      <c r="R122" s="14"/>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row>
    <row r="123" spans="1:56" x14ac:dyDescent="0.15">
      <c r="A123" s="113"/>
    </row>
    <row r="124" spans="1:56" x14ac:dyDescent="0.15">
      <c r="B124" s="6">
        <v>40985</v>
      </c>
      <c r="E124" s="6" t="s">
        <v>1549</v>
      </c>
      <c r="G124" s="102">
        <v>11</v>
      </c>
      <c r="H124" s="103">
        <v>10</v>
      </c>
      <c r="I124" s="103"/>
      <c r="J124" s="103"/>
      <c r="K124" s="103"/>
      <c r="L124" s="350"/>
      <c r="N124" s="104"/>
      <c r="O124" s="104"/>
      <c r="P124" s="6">
        <v>6</v>
      </c>
      <c r="Q124" s="14">
        <v>-4</v>
      </c>
      <c r="R124" s="14">
        <v>1.5509259259259261E-3</v>
      </c>
    </row>
    <row r="125" spans="1:56" x14ac:dyDescent="0.15">
      <c r="A125" s="113"/>
    </row>
    <row r="126" spans="1:56" x14ac:dyDescent="0.15">
      <c r="A126" s="113"/>
    </row>
    <row r="127" spans="1:56" x14ac:dyDescent="0.15">
      <c r="A127" s="113"/>
    </row>
    <row r="128" spans="1:56" x14ac:dyDescent="0.15">
      <c r="A128" s="113"/>
    </row>
    <row r="129" spans="1:21" x14ac:dyDescent="0.15">
      <c r="A129" s="113"/>
    </row>
    <row r="130" spans="1:21" x14ac:dyDescent="0.15">
      <c r="A130" s="113"/>
    </row>
    <row r="131" spans="1:21" x14ac:dyDescent="0.15">
      <c r="A131" s="113"/>
    </row>
    <row r="132" spans="1:21" x14ac:dyDescent="0.15">
      <c r="A132" s="113"/>
    </row>
    <row r="134" spans="1:21" x14ac:dyDescent="0.15">
      <c r="F134" s="71"/>
    </row>
    <row r="135" spans="1:21" x14ac:dyDescent="0.15">
      <c r="F135" s="71"/>
    </row>
    <row r="136" spans="1:21" x14ac:dyDescent="0.15">
      <c r="F136" s="107"/>
      <c r="G136" s="108"/>
    </row>
    <row r="139" spans="1:21" x14ac:dyDescent="0.15">
      <c r="A139" s="6" t="s">
        <v>196</v>
      </c>
      <c r="B139" s="6">
        <v>40990</v>
      </c>
      <c r="H139" s="104"/>
      <c r="I139" s="104"/>
      <c r="J139" s="104"/>
      <c r="K139" s="104">
        <v>9</v>
      </c>
      <c r="P139" s="6">
        <v>8</v>
      </c>
      <c r="Q139" s="14">
        <v>-10</v>
      </c>
      <c r="R139" s="14">
        <v>1.0995370370370371E-3</v>
      </c>
      <c r="S139" s="13">
        <v>0</v>
      </c>
      <c r="T139" s="13" t="s">
        <v>625</v>
      </c>
      <c r="U139" s="13" t="s">
        <v>1281</v>
      </c>
    </row>
    <row r="160" spans="21:21" ht="13" x14ac:dyDescent="0.15">
      <c r="U160" s="19" t="s">
        <v>1712</v>
      </c>
    </row>
    <row r="162" spans="1:56" x14ac:dyDescent="0.15">
      <c r="J162" s="75" t="s">
        <v>961</v>
      </c>
      <c r="K162" s="75">
        <v>8</v>
      </c>
      <c r="P162" s="6">
        <v>6</v>
      </c>
      <c r="Q162" s="14">
        <v>-6.25</v>
      </c>
      <c r="R162" s="14">
        <v>1.1689814814814816E-3</v>
      </c>
      <c r="S162" s="13">
        <v>80</v>
      </c>
      <c r="U162" s="13" t="s">
        <v>1715</v>
      </c>
    </row>
    <row r="163" spans="1:56" ht="13" x14ac:dyDescent="0.15">
      <c r="J163" s="75" t="s">
        <v>961</v>
      </c>
      <c r="P163" s="6">
        <v>2</v>
      </c>
      <c r="Q163" s="115" t="s">
        <v>1202</v>
      </c>
      <c r="R163" s="14">
        <v>7.6388888888888893E-4</v>
      </c>
      <c r="S163" s="13">
        <v>4520</v>
      </c>
      <c r="U163" s="19" t="s">
        <v>1717</v>
      </c>
      <c r="BD163" s="13">
        <v>4</v>
      </c>
    </row>
    <row r="164" spans="1:56" ht="13" x14ac:dyDescent="0.15">
      <c r="P164" s="6">
        <v>1</v>
      </c>
      <c r="Q164" s="14">
        <v>0.75</v>
      </c>
      <c r="R164" s="14">
        <v>1.1458333333333333E-3</v>
      </c>
      <c r="S164" s="13">
        <v>10980</v>
      </c>
      <c r="U164" s="19" t="s">
        <v>1720</v>
      </c>
      <c r="BC164" s="13">
        <v>4.2</v>
      </c>
      <c r="BD164" s="13">
        <v>3.2</v>
      </c>
    </row>
    <row r="170" spans="1:56" x14ac:dyDescent="0.15">
      <c r="L170" s="21">
        <v>30</v>
      </c>
    </row>
    <row r="174" spans="1:56" x14ac:dyDescent="0.15">
      <c r="A174" s="113"/>
      <c r="B174" s="6">
        <v>40999</v>
      </c>
      <c r="E174" s="6" t="s">
        <v>66</v>
      </c>
      <c r="F174" s="101" t="s">
        <v>1190</v>
      </c>
      <c r="G174" s="102">
        <v>3</v>
      </c>
      <c r="K174" s="75">
        <v>6</v>
      </c>
      <c r="L174" s="21">
        <v>6</v>
      </c>
      <c r="N174" s="75">
        <v>34000</v>
      </c>
    </row>
    <row r="175" spans="1:56" x14ac:dyDescent="0.15">
      <c r="L175" s="35"/>
    </row>
    <row r="177" spans="2:21" x14ac:dyDescent="0.15">
      <c r="B177" s="6">
        <v>41000</v>
      </c>
      <c r="E177" s="6" t="s">
        <v>1714</v>
      </c>
      <c r="G177" s="102">
        <v>10</v>
      </c>
      <c r="K177" s="75">
        <v>10</v>
      </c>
      <c r="L177" s="35"/>
      <c r="N177" s="75">
        <v>7600</v>
      </c>
      <c r="O177" s="75" t="s">
        <v>197</v>
      </c>
    </row>
    <row r="183" spans="2:21" ht="13" x14ac:dyDescent="0.15">
      <c r="B183" s="6">
        <v>41013</v>
      </c>
      <c r="F183" s="116" t="s">
        <v>1718</v>
      </c>
      <c r="I183" s="117" t="s">
        <v>1360</v>
      </c>
      <c r="N183" s="75">
        <v>750000</v>
      </c>
      <c r="O183" s="117" t="s">
        <v>1719</v>
      </c>
      <c r="U183" s="19" t="s">
        <v>376</v>
      </c>
    </row>
    <row r="252" spans="1:56" s="21" customFormat="1" ht="13" x14ac:dyDescent="0.15">
      <c r="A252" s="5" t="s">
        <v>355</v>
      </c>
      <c r="B252" s="6">
        <v>40997</v>
      </c>
      <c r="C252" s="5" t="s">
        <v>1035</v>
      </c>
      <c r="D252" s="6">
        <v>3</v>
      </c>
      <c r="E252" s="5" t="s">
        <v>662</v>
      </c>
      <c r="F252" s="101">
        <v>4.5138888888888892E-4</v>
      </c>
      <c r="G252" s="102"/>
      <c r="H252" s="75"/>
      <c r="I252" s="118" t="s">
        <v>1526</v>
      </c>
      <c r="J252" s="75"/>
      <c r="K252" s="75"/>
      <c r="N252" s="75"/>
      <c r="O252" s="75"/>
      <c r="P252" s="6"/>
      <c r="Q252" s="14"/>
      <c r="R252" s="14"/>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row>
    <row r="253" spans="1:56" s="21" customFormat="1" ht="13" x14ac:dyDescent="0.15">
      <c r="A253" s="5" t="s">
        <v>479</v>
      </c>
      <c r="B253" s="6">
        <v>40997</v>
      </c>
      <c r="C253" s="5" t="s">
        <v>1035</v>
      </c>
      <c r="D253" s="6">
        <v>4</v>
      </c>
      <c r="E253" s="5" t="s">
        <v>662</v>
      </c>
      <c r="F253" s="101">
        <v>5.7870370370370378E-4</v>
      </c>
      <c r="G253" s="102"/>
      <c r="H253" s="75"/>
      <c r="I253" s="118" t="s">
        <v>1210</v>
      </c>
      <c r="J253" s="75"/>
      <c r="K253" s="75"/>
      <c r="N253" s="75"/>
      <c r="O253" s="75"/>
      <c r="P253" s="6"/>
      <c r="Q253" s="14"/>
      <c r="R253" s="14"/>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row>
    <row r="254" spans="1:56" s="21" customFormat="1" ht="13" x14ac:dyDescent="0.15">
      <c r="A254" s="5" t="s">
        <v>375</v>
      </c>
      <c r="B254" s="6">
        <v>40997</v>
      </c>
      <c r="C254" s="5" t="s">
        <v>86</v>
      </c>
      <c r="D254" s="6">
        <v>4</v>
      </c>
      <c r="E254" s="5" t="s">
        <v>662</v>
      </c>
      <c r="F254" s="101">
        <v>5.5555555555555556E-4</v>
      </c>
      <c r="G254" s="102"/>
      <c r="H254" s="75"/>
      <c r="I254" s="118" t="s">
        <v>1204</v>
      </c>
      <c r="J254" s="75"/>
      <c r="K254" s="75"/>
      <c r="N254" s="75"/>
      <c r="O254" s="75"/>
      <c r="P254" s="6"/>
      <c r="Q254" s="14"/>
      <c r="R254" s="14"/>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row>
    <row r="255" spans="1:56" s="21" customFormat="1" ht="13" x14ac:dyDescent="0.15">
      <c r="A255" s="5" t="s">
        <v>1158</v>
      </c>
      <c r="B255" s="6">
        <v>40997</v>
      </c>
      <c r="C255" s="5" t="s">
        <v>797</v>
      </c>
      <c r="D255" s="6">
        <v>5</v>
      </c>
      <c r="E255" s="5" t="s">
        <v>758</v>
      </c>
      <c r="F255" s="101">
        <v>6.9444444444444447E-4</v>
      </c>
      <c r="G255" s="102"/>
      <c r="H255" s="75"/>
      <c r="I255" s="117" t="s">
        <v>1716</v>
      </c>
      <c r="J255" s="75"/>
      <c r="K255" s="75"/>
      <c r="N255" s="75"/>
      <c r="O255" s="75"/>
      <c r="P255" s="6"/>
      <c r="Q255" s="14"/>
      <c r="R255" s="14"/>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row>
    <row r="256" spans="1:56" s="21" customFormat="1" ht="13" x14ac:dyDescent="0.15">
      <c r="A256" s="5" t="s">
        <v>353</v>
      </c>
      <c r="B256" s="6">
        <v>40997</v>
      </c>
      <c r="C256" s="5" t="s">
        <v>797</v>
      </c>
      <c r="D256" s="6">
        <v>3</v>
      </c>
      <c r="E256" s="5" t="s">
        <v>758</v>
      </c>
      <c r="F256" s="101">
        <v>4.1666666666666669E-4</v>
      </c>
      <c r="G256" s="102"/>
      <c r="H256" s="117" t="s">
        <v>1249</v>
      </c>
      <c r="I256" s="118" t="s">
        <v>793</v>
      </c>
      <c r="J256" s="75"/>
      <c r="K256" s="75"/>
      <c r="N256" s="75"/>
      <c r="O256" s="75"/>
      <c r="P256" s="6"/>
      <c r="Q256" s="14"/>
      <c r="R256" s="14"/>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row>
    <row r="257" spans="1:56" s="21" customFormat="1" ht="13" x14ac:dyDescent="0.15">
      <c r="A257" s="5" t="s">
        <v>1528</v>
      </c>
      <c r="B257" s="6">
        <v>40997</v>
      </c>
      <c r="C257" s="5" t="s">
        <v>469</v>
      </c>
      <c r="D257" s="6">
        <v>6</v>
      </c>
      <c r="E257" s="5" t="s">
        <v>662</v>
      </c>
      <c r="F257" s="101">
        <v>8.6805555555555551E-4</v>
      </c>
      <c r="G257" s="102"/>
      <c r="H257" s="75"/>
      <c r="I257" s="118" t="s">
        <v>964</v>
      </c>
      <c r="J257" s="75"/>
      <c r="K257" s="75"/>
      <c r="N257" s="75"/>
      <c r="O257" s="75"/>
      <c r="P257" s="6"/>
      <c r="Q257" s="14"/>
      <c r="R257" s="14"/>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row>
  </sheetData>
  <pageMargins left="0.7" right="0.7" top="0.75" bottom="0.75" header="0.3" footer="0.3"/>
  <pageSetup orientation="portrait" verticalDpi="429496729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5"/>
  <sheetViews>
    <sheetView topLeftCell="A23" workbookViewId="0">
      <selection activeCell="M49" sqref="M49"/>
    </sheetView>
  </sheetViews>
  <sheetFormatPr baseColWidth="10" defaultColWidth="8.83203125" defaultRowHeight="13" x14ac:dyDescent="0.15"/>
  <cols>
    <col min="1" max="1" width="20.33203125" customWidth="1"/>
    <col min="2" max="2" width="16.6640625" customWidth="1"/>
    <col min="3" max="3" width="17.83203125" customWidth="1"/>
    <col min="4" max="4" width="17.1640625" customWidth="1"/>
    <col min="5" max="5" width="21.1640625" customWidth="1"/>
    <col min="6" max="6" width="11.5" customWidth="1"/>
    <col min="8" max="8" width="4.5" customWidth="1"/>
    <col min="9" max="10" width="3.33203125" customWidth="1"/>
    <col min="11" max="11" width="3.1640625" customWidth="1"/>
    <col min="12" max="12" width="10.33203125" customWidth="1"/>
    <col min="13" max="13" width="8.83203125" style="436" customWidth="1"/>
    <col min="14" max="14" width="5.6640625" style="439" customWidth="1"/>
    <col min="15" max="15" width="5.5" customWidth="1"/>
    <col min="16" max="16" width="13" customWidth="1"/>
    <col min="18" max="18" width="10.6640625" bestFit="1" customWidth="1"/>
  </cols>
  <sheetData>
    <row r="1" spans="1:54" x14ac:dyDescent="0.15">
      <c r="A1" s="362" t="s">
        <v>766</v>
      </c>
      <c r="B1" s="362" t="s">
        <v>116</v>
      </c>
      <c r="C1" s="362" t="s">
        <v>679</v>
      </c>
      <c r="D1" s="362" t="s">
        <v>843</v>
      </c>
      <c r="E1" s="362" t="s">
        <v>1464</v>
      </c>
      <c r="F1" s="363">
        <v>38834</v>
      </c>
      <c r="G1" s="364"/>
      <c r="H1" s="365">
        <v>18</v>
      </c>
      <c r="I1" s="365">
        <v>9</v>
      </c>
      <c r="J1" s="365">
        <v>1</v>
      </c>
      <c r="K1" s="365">
        <v>2</v>
      </c>
      <c r="L1" s="366">
        <v>2686617</v>
      </c>
      <c r="M1" s="366">
        <f>L1/H1</f>
        <v>149256.5</v>
      </c>
      <c r="N1" s="437">
        <f>I1/H1</f>
        <v>0.5</v>
      </c>
      <c r="O1" s="367">
        <f>SUM(I1:K1)/H1</f>
        <v>0.66666666666666663</v>
      </c>
      <c r="P1" s="368" t="s">
        <v>1604</v>
      </c>
      <c r="Q1" s="357"/>
      <c r="R1" s="357" t="s">
        <v>2477</v>
      </c>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8"/>
      <c r="AS1" s="359"/>
      <c r="AT1" s="359"/>
      <c r="AU1" s="359"/>
      <c r="AV1" s="359"/>
      <c r="AW1" s="359"/>
      <c r="AX1" s="359"/>
      <c r="AY1" s="350">
        <v>1</v>
      </c>
      <c r="AZ1" s="359"/>
      <c r="BA1" s="359" t="s">
        <v>2438</v>
      </c>
      <c r="BB1" s="350" t="s">
        <v>2438</v>
      </c>
    </row>
    <row r="2" spans="1:54" x14ac:dyDescent="0.15">
      <c r="A2" s="362" t="s">
        <v>1606</v>
      </c>
      <c r="B2" s="362" t="s">
        <v>1919</v>
      </c>
      <c r="C2" s="362" t="s">
        <v>687</v>
      </c>
      <c r="D2" s="362" t="s">
        <v>1042</v>
      </c>
      <c r="E2" s="362" t="s">
        <v>1342</v>
      </c>
      <c r="F2" s="369">
        <v>39639</v>
      </c>
      <c r="G2" s="364">
        <v>138390</v>
      </c>
      <c r="H2" s="365">
        <v>14</v>
      </c>
      <c r="I2" s="365">
        <v>8</v>
      </c>
      <c r="J2" s="365">
        <v>2</v>
      </c>
      <c r="K2" s="365">
        <v>1</v>
      </c>
      <c r="L2" s="364">
        <v>1633120</v>
      </c>
      <c r="M2" s="364">
        <f t="shared" ref="M2:M82" si="0">L2/H2</f>
        <v>116651.42857142857</v>
      </c>
      <c r="N2" s="437">
        <f t="shared" ref="N2:N82" si="1">I2/H2</f>
        <v>0.5714285714285714</v>
      </c>
      <c r="O2" s="367">
        <f t="shared" ref="O2:O82" si="2">SUM(I2:K2)/H2</f>
        <v>0.7857142857142857</v>
      </c>
      <c r="P2" s="368" t="s">
        <v>1976</v>
      </c>
      <c r="Q2" s="357"/>
      <c r="R2" s="371" t="s">
        <v>2476</v>
      </c>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9"/>
      <c r="AS2" s="359"/>
      <c r="AT2" s="359"/>
      <c r="AU2" s="359"/>
      <c r="AV2" s="359"/>
      <c r="AW2" s="359"/>
      <c r="AX2" s="359"/>
      <c r="AY2" s="350">
        <v>1</v>
      </c>
      <c r="AZ2" s="359"/>
      <c r="BA2" s="359"/>
      <c r="BB2" s="359"/>
    </row>
    <row r="3" spans="1:54" x14ac:dyDescent="0.15">
      <c r="A3" s="362" t="s">
        <v>78</v>
      </c>
      <c r="B3" s="362" t="s">
        <v>1921</v>
      </c>
      <c r="C3" s="362" t="s">
        <v>598</v>
      </c>
      <c r="D3" s="362" t="s">
        <v>1140</v>
      </c>
      <c r="E3" s="362" t="s">
        <v>1327</v>
      </c>
      <c r="F3" s="369">
        <v>39491</v>
      </c>
      <c r="G3" s="364"/>
      <c r="H3" s="365">
        <v>21</v>
      </c>
      <c r="I3" s="365">
        <v>6</v>
      </c>
      <c r="J3" s="365">
        <v>7</v>
      </c>
      <c r="K3" s="365">
        <v>3</v>
      </c>
      <c r="L3" s="364">
        <v>1632510</v>
      </c>
      <c r="M3" s="364">
        <f t="shared" si="0"/>
        <v>77738.571428571435</v>
      </c>
      <c r="N3" s="437">
        <f t="shared" si="1"/>
        <v>0.2857142857142857</v>
      </c>
      <c r="O3" s="367">
        <f t="shared" si="2"/>
        <v>0.76190476190476186</v>
      </c>
      <c r="P3" s="368" t="s">
        <v>2282</v>
      </c>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8"/>
      <c r="AS3" s="359"/>
      <c r="AT3" s="359"/>
      <c r="AU3" s="359"/>
      <c r="AV3" s="359"/>
      <c r="AW3" s="359"/>
      <c r="AX3" s="359"/>
      <c r="AY3" s="350">
        <v>1</v>
      </c>
      <c r="AZ3" s="359"/>
      <c r="BA3" s="359"/>
      <c r="BB3" s="359"/>
    </row>
    <row r="4" spans="1:54" x14ac:dyDescent="0.15">
      <c r="A4" s="352" t="s">
        <v>54</v>
      </c>
      <c r="B4" s="352" t="s">
        <v>969</v>
      </c>
      <c r="C4" s="352" t="s">
        <v>146</v>
      </c>
      <c r="D4" s="352" t="s">
        <v>824</v>
      </c>
      <c r="E4" s="352" t="s">
        <v>119</v>
      </c>
      <c r="F4" s="353">
        <v>39927</v>
      </c>
      <c r="G4" s="354">
        <v>45000</v>
      </c>
      <c r="H4" s="348">
        <v>33</v>
      </c>
      <c r="I4" s="348">
        <v>12</v>
      </c>
      <c r="J4" s="348">
        <v>8</v>
      </c>
      <c r="K4" s="348">
        <v>6</v>
      </c>
      <c r="L4" s="354">
        <f>880755+31500+6090+10000+6050+6600</f>
        <v>940995</v>
      </c>
      <c r="M4" s="354">
        <f t="shared" si="0"/>
        <v>28515</v>
      </c>
      <c r="N4" s="438">
        <f t="shared" si="1"/>
        <v>0.36363636363636365</v>
      </c>
      <c r="O4" s="356">
        <f t="shared" si="2"/>
        <v>0.78787878787878785</v>
      </c>
      <c r="P4" s="349"/>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9"/>
      <c r="AS4" s="359"/>
      <c r="AT4" s="359"/>
      <c r="AU4" s="359"/>
      <c r="AV4" s="359"/>
      <c r="AW4" s="359"/>
      <c r="AX4" s="359"/>
      <c r="AY4" s="350">
        <v>1</v>
      </c>
      <c r="AZ4" s="359"/>
      <c r="BA4" s="359"/>
      <c r="BB4" s="359"/>
    </row>
    <row r="5" spans="1:54" x14ac:dyDescent="0.15">
      <c r="A5" s="352" t="s">
        <v>1788</v>
      </c>
      <c r="B5" s="352" t="s">
        <v>1513</v>
      </c>
      <c r="C5" s="352" t="s">
        <v>1465</v>
      </c>
      <c r="D5" s="352" t="s">
        <v>1406</v>
      </c>
      <c r="E5" s="352" t="s">
        <v>1474</v>
      </c>
      <c r="F5" s="353">
        <v>40280</v>
      </c>
      <c r="G5" s="354"/>
      <c r="H5" s="348">
        <v>26</v>
      </c>
      <c r="I5" s="348">
        <v>6</v>
      </c>
      <c r="J5" s="348">
        <v>2</v>
      </c>
      <c r="K5" s="348">
        <v>3</v>
      </c>
      <c r="L5" s="354">
        <f>547352+154916+0+0+0+0+0+0+15714+1631</f>
        <v>719613</v>
      </c>
      <c r="M5" s="354">
        <f t="shared" si="0"/>
        <v>27677.423076923078</v>
      </c>
      <c r="N5" s="438">
        <f t="shared" si="1"/>
        <v>0.23076923076923078</v>
      </c>
      <c r="O5" s="356">
        <f t="shared" si="2"/>
        <v>0.42307692307692307</v>
      </c>
      <c r="P5" s="349"/>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9"/>
      <c r="AS5" s="359"/>
      <c r="AT5" s="359"/>
      <c r="AU5" s="359"/>
      <c r="AV5" s="359"/>
      <c r="AW5" s="359"/>
      <c r="AX5" s="359"/>
      <c r="AY5" s="350">
        <v>1</v>
      </c>
      <c r="AZ5" s="359"/>
      <c r="BA5" s="359"/>
      <c r="BB5" s="359"/>
    </row>
    <row r="6" spans="1:54" x14ac:dyDescent="0.15">
      <c r="A6" s="352" t="s">
        <v>1295</v>
      </c>
      <c r="B6" s="352" t="s">
        <v>348</v>
      </c>
      <c r="C6" s="352" t="s">
        <v>413</v>
      </c>
      <c r="D6" s="352" t="s">
        <v>562</v>
      </c>
      <c r="E6" s="352" t="s">
        <v>646</v>
      </c>
      <c r="F6" s="353">
        <v>39882</v>
      </c>
      <c r="G6" s="354"/>
      <c r="H6" s="348">
        <v>41</v>
      </c>
      <c r="I6" s="348">
        <v>9</v>
      </c>
      <c r="J6" s="348">
        <v>5</v>
      </c>
      <c r="K6" s="348">
        <v>4</v>
      </c>
      <c r="L6" s="354">
        <f>343125+250+1300+30000+12000+45000+4000+54000+60605+4230+4500+1500+24000+3100+10000+1800</f>
        <v>599410</v>
      </c>
      <c r="M6" s="355">
        <f>L6/H6</f>
        <v>14619.756097560976</v>
      </c>
      <c r="N6" s="438">
        <f>I6/H6</f>
        <v>0.21951219512195122</v>
      </c>
      <c r="O6" s="356">
        <f>SUM(I6:K6)/H6</f>
        <v>0.43902439024390244</v>
      </c>
      <c r="P6" s="349"/>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9"/>
      <c r="AS6" s="359"/>
      <c r="AT6" s="359"/>
      <c r="AU6" s="359"/>
      <c r="AV6" s="359"/>
      <c r="AW6" s="359"/>
      <c r="AX6" s="359"/>
      <c r="AY6" s="350">
        <v>1</v>
      </c>
      <c r="AZ6" s="359"/>
      <c r="BA6" s="359"/>
      <c r="BB6" s="359"/>
    </row>
    <row r="7" spans="1:54" x14ac:dyDescent="0.15">
      <c r="A7" s="362" t="s">
        <v>1518</v>
      </c>
      <c r="B7" s="362" t="s">
        <v>1513</v>
      </c>
      <c r="C7" s="362" t="s">
        <v>402</v>
      </c>
      <c r="D7" s="362" t="s">
        <v>803</v>
      </c>
      <c r="E7" s="362" t="s">
        <v>1459</v>
      </c>
      <c r="F7" s="363">
        <v>39840</v>
      </c>
      <c r="G7" s="364">
        <v>14000</v>
      </c>
      <c r="H7" s="365">
        <v>14</v>
      </c>
      <c r="I7" s="365">
        <v>9</v>
      </c>
      <c r="J7" s="365">
        <v>2</v>
      </c>
      <c r="K7" s="365">
        <v>1</v>
      </c>
      <c r="L7" s="364">
        <v>540098</v>
      </c>
      <c r="M7" s="364">
        <f t="shared" si="0"/>
        <v>38578.428571428572</v>
      </c>
      <c r="N7" s="437">
        <f t="shared" si="1"/>
        <v>0.6428571428571429</v>
      </c>
      <c r="O7" s="367">
        <f t="shared" si="2"/>
        <v>0.8571428571428571</v>
      </c>
      <c r="P7" s="368" t="s">
        <v>2282</v>
      </c>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8"/>
      <c r="AS7" s="359"/>
      <c r="AT7" s="359"/>
      <c r="AU7" s="359"/>
      <c r="AV7" s="359"/>
      <c r="AW7" s="359"/>
      <c r="AX7" s="359"/>
      <c r="AY7" s="350">
        <v>1</v>
      </c>
      <c r="AZ7" s="359"/>
      <c r="BA7" s="359"/>
      <c r="BB7" s="359"/>
    </row>
    <row r="8" spans="1:54" x14ac:dyDescent="0.15">
      <c r="A8" s="352" t="s">
        <v>321</v>
      </c>
      <c r="B8" s="352" t="s">
        <v>124</v>
      </c>
      <c r="C8" s="352" t="s">
        <v>538</v>
      </c>
      <c r="D8" s="352" t="s">
        <v>898</v>
      </c>
      <c r="E8" s="352" t="s">
        <v>100</v>
      </c>
      <c r="F8" s="360">
        <v>39534</v>
      </c>
      <c r="G8" s="354"/>
      <c r="H8" s="348">
        <v>54</v>
      </c>
      <c r="I8" s="348">
        <v>7</v>
      </c>
      <c r="J8" s="348">
        <v>5</v>
      </c>
      <c r="K8" s="348">
        <v>7</v>
      </c>
      <c r="L8" s="354">
        <f>452235+3289+5733+5733</f>
        <v>466990</v>
      </c>
      <c r="M8" s="355">
        <f>L8/H8</f>
        <v>8647.9629629629635</v>
      </c>
      <c r="N8" s="438">
        <f>I8/H8</f>
        <v>0.12962962962962962</v>
      </c>
      <c r="O8" s="356">
        <f>SUM(I8:K8)/H8</f>
        <v>0.35185185185185186</v>
      </c>
      <c r="P8" s="349"/>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9"/>
      <c r="AS8" s="359"/>
      <c r="AT8" s="359"/>
      <c r="AU8" s="359"/>
      <c r="AV8" s="359"/>
      <c r="AW8" s="359"/>
      <c r="AX8" s="359"/>
      <c r="AY8" s="350">
        <v>1</v>
      </c>
      <c r="AZ8" s="359"/>
      <c r="BA8" s="359"/>
      <c r="BB8" s="359"/>
    </row>
    <row r="9" spans="1:54" x14ac:dyDescent="0.15">
      <c r="A9" s="352" t="s">
        <v>1816</v>
      </c>
      <c r="B9" s="352" t="s">
        <v>1895</v>
      </c>
      <c r="C9" s="352" t="s">
        <v>401</v>
      </c>
      <c r="D9" s="352" t="s">
        <v>462</v>
      </c>
      <c r="E9" s="352" t="s">
        <v>1335</v>
      </c>
      <c r="F9" s="353">
        <v>40208</v>
      </c>
      <c r="G9" s="354"/>
      <c r="H9" s="348">
        <v>26</v>
      </c>
      <c r="I9" s="348">
        <v>9</v>
      </c>
      <c r="J9" s="348">
        <v>3</v>
      </c>
      <c r="K9" s="348">
        <v>1</v>
      </c>
      <c r="L9" s="354">
        <f>297580+3000+500+2790+2790+16500+45000+1000+3000+60000+0+20000</f>
        <v>452160</v>
      </c>
      <c r="M9" s="355">
        <f>L9/H9</f>
        <v>17390.76923076923</v>
      </c>
      <c r="N9" s="438">
        <f>I9/H9</f>
        <v>0.34615384615384615</v>
      </c>
      <c r="O9" s="356">
        <f>SUM(I9:K9)/H9</f>
        <v>0.5</v>
      </c>
      <c r="P9" s="349"/>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9"/>
      <c r="AS9" s="359"/>
      <c r="AT9" s="359"/>
      <c r="AU9" s="359"/>
      <c r="AV9" s="359"/>
      <c r="AW9" s="359"/>
      <c r="AX9" s="359"/>
      <c r="AY9" s="350">
        <v>1</v>
      </c>
      <c r="AZ9" s="359"/>
      <c r="BA9" s="359"/>
      <c r="BB9" s="359"/>
    </row>
    <row r="10" spans="1:54" x14ac:dyDescent="0.15">
      <c r="A10" s="362" t="s">
        <v>319</v>
      </c>
      <c r="B10" s="362" t="s">
        <v>1511</v>
      </c>
      <c r="C10" s="362" t="s">
        <v>832</v>
      </c>
      <c r="D10" s="362" t="s">
        <v>920</v>
      </c>
      <c r="E10" s="362" t="s">
        <v>99</v>
      </c>
      <c r="F10" s="369">
        <v>39523</v>
      </c>
      <c r="G10" s="364">
        <v>65000</v>
      </c>
      <c r="H10" s="365">
        <v>12</v>
      </c>
      <c r="I10" s="365">
        <v>4</v>
      </c>
      <c r="J10" s="365">
        <v>0</v>
      </c>
      <c r="K10" s="365">
        <v>2</v>
      </c>
      <c r="L10" s="364">
        <v>418932</v>
      </c>
      <c r="M10" s="364">
        <f t="shared" si="0"/>
        <v>34911</v>
      </c>
      <c r="N10" s="437">
        <f t="shared" si="1"/>
        <v>0.33333333333333331</v>
      </c>
      <c r="O10" s="367">
        <f t="shared" si="2"/>
        <v>0.5</v>
      </c>
      <c r="P10" s="368" t="s">
        <v>2282</v>
      </c>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9"/>
      <c r="AS10" s="359"/>
      <c r="AT10" s="359"/>
      <c r="AU10" s="359"/>
      <c r="AV10" s="359"/>
      <c r="AW10" s="359"/>
      <c r="AX10" s="359"/>
      <c r="AY10" s="350">
        <v>1</v>
      </c>
      <c r="AZ10" s="359"/>
      <c r="BA10" s="359"/>
      <c r="BB10" s="359"/>
    </row>
    <row r="11" spans="1:54" x14ac:dyDescent="0.15">
      <c r="A11" s="362" t="s">
        <v>760</v>
      </c>
      <c r="B11" s="362" t="s">
        <v>1503</v>
      </c>
      <c r="C11" s="362" t="s">
        <v>463</v>
      </c>
      <c r="D11" s="362" t="s">
        <v>610</v>
      </c>
      <c r="E11" s="362" t="s">
        <v>245</v>
      </c>
      <c r="F11" s="363">
        <v>38762</v>
      </c>
      <c r="G11" s="364">
        <v>350000</v>
      </c>
      <c r="H11" s="365">
        <v>18</v>
      </c>
      <c r="I11" s="365">
        <v>3</v>
      </c>
      <c r="J11" s="365">
        <v>4</v>
      </c>
      <c r="K11" s="365">
        <v>3</v>
      </c>
      <c r="L11" s="366">
        <v>409336</v>
      </c>
      <c r="M11" s="366">
        <f t="shared" si="0"/>
        <v>22740.888888888891</v>
      </c>
      <c r="N11" s="437">
        <f t="shared" si="1"/>
        <v>0.16666666666666666</v>
      </c>
      <c r="O11" s="367">
        <f t="shared" si="2"/>
        <v>0.55555555555555558</v>
      </c>
      <c r="P11" s="368" t="s">
        <v>1689</v>
      </c>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8"/>
      <c r="AS11" s="359"/>
      <c r="AT11" s="359"/>
      <c r="AU11" s="359"/>
      <c r="AV11" s="359"/>
      <c r="AW11" s="359"/>
      <c r="AX11" s="359"/>
      <c r="AY11" s="350">
        <v>1</v>
      </c>
      <c r="AZ11" s="359"/>
      <c r="BA11" s="359" t="s">
        <v>2439</v>
      </c>
      <c r="BB11" s="350">
        <v>59336</v>
      </c>
    </row>
    <row r="12" spans="1:54" x14ac:dyDescent="0.15">
      <c r="A12" s="362" t="s">
        <v>1172</v>
      </c>
      <c r="B12" s="362" t="s">
        <v>1505</v>
      </c>
      <c r="C12" s="362" t="s">
        <v>992</v>
      </c>
      <c r="D12" s="362" t="s">
        <v>927</v>
      </c>
      <c r="E12" s="362" t="s">
        <v>337</v>
      </c>
      <c r="F12" s="363">
        <v>39111</v>
      </c>
      <c r="G12" s="364">
        <v>250000</v>
      </c>
      <c r="H12" s="365">
        <v>15</v>
      </c>
      <c r="I12" s="365">
        <v>4</v>
      </c>
      <c r="J12" s="365">
        <v>4</v>
      </c>
      <c r="K12" s="365">
        <v>3</v>
      </c>
      <c r="L12" s="364">
        <v>405051</v>
      </c>
      <c r="M12" s="366">
        <f t="shared" si="0"/>
        <v>27003.4</v>
      </c>
      <c r="N12" s="437">
        <f t="shared" si="1"/>
        <v>0.26666666666666666</v>
      </c>
      <c r="O12" s="367">
        <f t="shared" si="2"/>
        <v>0.73333333333333328</v>
      </c>
      <c r="P12" s="368" t="s">
        <v>1604</v>
      </c>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8"/>
      <c r="AS12" s="359"/>
      <c r="AT12" s="359"/>
      <c r="AU12" s="359"/>
      <c r="AV12" s="359"/>
      <c r="AW12" s="359"/>
      <c r="AX12" s="359"/>
      <c r="AY12" s="350">
        <v>1</v>
      </c>
      <c r="AZ12" s="359"/>
      <c r="BA12" s="359"/>
      <c r="BB12" s="359"/>
    </row>
    <row r="13" spans="1:54" x14ac:dyDescent="0.15">
      <c r="A13" s="362" t="s">
        <v>1120</v>
      </c>
      <c r="B13" s="362" t="s">
        <v>713</v>
      </c>
      <c r="C13" s="362" t="s">
        <v>847</v>
      </c>
      <c r="D13" s="362" t="s">
        <v>484</v>
      </c>
      <c r="E13" s="362" t="s">
        <v>276</v>
      </c>
      <c r="F13" s="363">
        <v>39185</v>
      </c>
      <c r="G13" s="364">
        <v>30000</v>
      </c>
      <c r="H13" s="365">
        <v>50</v>
      </c>
      <c r="I13" s="365">
        <v>6</v>
      </c>
      <c r="J13" s="365">
        <v>7</v>
      </c>
      <c r="K13" s="365">
        <v>14</v>
      </c>
      <c r="L13" s="364">
        <f>370775+500+1380+8800+125+0+900+1080</f>
        <v>383560</v>
      </c>
      <c r="M13" s="366">
        <f t="shared" ref="M13:M17" si="3">L13/H13</f>
        <v>7671.2</v>
      </c>
      <c r="N13" s="437">
        <f t="shared" ref="N13:N17" si="4">I13/H13</f>
        <v>0.12</v>
      </c>
      <c r="O13" s="367">
        <f t="shared" ref="O13:O17" si="5">SUM(I13:K13)/H13</f>
        <v>0.54</v>
      </c>
      <c r="P13" s="368" t="s">
        <v>4128</v>
      </c>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8"/>
      <c r="AS13" s="359"/>
      <c r="AT13" s="359"/>
      <c r="AU13" s="359"/>
      <c r="AV13" s="359"/>
      <c r="AW13" s="359"/>
      <c r="AX13" s="359"/>
      <c r="AY13" s="350">
        <v>1</v>
      </c>
      <c r="AZ13" s="359"/>
      <c r="BA13" s="359"/>
      <c r="BB13" s="359"/>
    </row>
    <row r="14" spans="1:54" x14ac:dyDescent="0.15">
      <c r="A14" s="352" t="s">
        <v>1558</v>
      </c>
      <c r="B14" s="352" t="s">
        <v>969</v>
      </c>
      <c r="C14" s="352" t="s">
        <v>1184</v>
      </c>
      <c r="D14" s="352" t="s">
        <v>1185</v>
      </c>
      <c r="E14" s="352" t="s">
        <v>1352</v>
      </c>
      <c r="F14" s="353">
        <v>39846</v>
      </c>
      <c r="G14" s="354">
        <v>60000</v>
      </c>
      <c r="H14" s="348">
        <v>24</v>
      </c>
      <c r="I14" s="348">
        <v>6</v>
      </c>
      <c r="J14" s="348">
        <v>5</v>
      </c>
      <c r="K14" s="348">
        <v>3</v>
      </c>
      <c r="L14" s="354">
        <f>230275+20000+120000+833+1667+2000+3000+3740</f>
        <v>381515</v>
      </c>
      <c r="M14" s="355">
        <f t="shared" si="3"/>
        <v>15896.458333333334</v>
      </c>
      <c r="N14" s="438">
        <f t="shared" si="4"/>
        <v>0.25</v>
      </c>
      <c r="O14" s="356">
        <f t="shared" si="5"/>
        <v>0.58333333333333337</v>
      </c>
      <c r="P14" s="349"/>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9"/>
      <c r="AS14" s="359"/>
      <c r="AT14" s="359"/>
      <c r="AU14" s="359"/>
      <c r="AV14" s="359"/>
      <c r="AW14" s="359"/>
      <c r="AX14" s="359"/>
      <c r="AY14" s="350">
        <v>1</v>
      </c>
      <c r="AZ14" s="359"/>
      <c r="BA14" s="359"/>
      <c r="BB14" s="359"/>
    </row>
    <row r="15" spans="1:54" x14ac:dyDescent="0.15">
      <c r="A15" s="352" t="s">
        <v>51</v>
      </c>
      <c r="B15" s="352" t="s">
        <v>1511</v>
      </c>
      <c r="C15" s="352" t="s">
        <v>1174</v>
      </c>
      <c r="D15" s="352" t="s">
        <v>1181</v>
      </c>
      <c r="E15" s="352" t="s">
        <v>1337</v>
      </c>
      <c r="F15" s="353">
        <v>39938</v>
      </c>
      <c r="G15" s="354">
        <v>11000</v>
      </c>
      <c r="H15" s="348">
        <v>26</v>
      </c>
      <c r="I15" s="348">
        <v>12</v>
      </c>
      <c r="J15" s="348">
        <v>6</v>
      </c>
      <c r="K15" s="348">
        <v>4</v>
      </c>
      <c r="L15" s="354">
        <f>364972+5400+2300</f>
        <v>372672</v>
      </c>
      <c r="M15" s="355">
        <f t="shared" si="3"/>
        <v>14333.538461538461</v>
      </c>
      <c r="N15" s="438">
        <f t="shared" si="4"/>
        <v>0.46153846153846156</v>
      </c>
      <c r="O15" s="356">
        <f t="shared" si="5"/>
        <v>0.84615384615384615</v>
      </c>
      <c r="P15" s="349"/>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9"/>
      <c r="AS15" s="359"/>
      <c r="AT15" s="359"/>
      <c r="AU15" s="359"/>
      <c r="AV15" s="359"/>
      <c r="AW15" s="359"/>
      <c r="AX15" s="359"/>
      <c r="AY15" s="350">
        <v>1</v>
      </c>
      <c r="AZ15" s="359"/>
      <c r="BA15" s="359"/>
      <c r="BB15" s="359"/>
    </row>
    <row r="16" spans="1:54" x14ac:dyDescent="0.15">
      <c r="A16" s="352" t="s">
        <v>1529</v>
      </c>
      <c r="B16" s="352" t="s">
        <v>130</v>
      </c>
      <c r="C16" s="352" t="s">
        <v>507</v>
      </c>
      <c r="D16" s="352" t="s">
        <v>945</v>
      </c>
      <c r="E16" s="352" t="s">
        <v>1390</v>
      </c>
      <c r="F16" s="353">
        <v>39938</v>
      </c>
      <c r="G16" s="354"/>
      <c r="H16" s="348">
        <v>56</v>
      </c>
      <c r="I16" s="348">
        <v>9</v>
      </c>
      <c r="J16" s="348">
        <v>9</v>
      </c>
      <c r="K16" s="348">
        <v>8</v>
      </c>
      <c r="L16" s="354">
        <f>222026+2000+2000+2000+5000+4700+400+750+5000+167+15000+167+15000+9400+750+28200+1180+1500+9400+2900+28200+5500</f>
        <v>361240</v>
      </c>
      <c r="M16" s="355">
        <f t="shared" si="3"/>
        <v>6450.7142857142853</v>
      </c>
      <c r="N16" s="438">
        <f t="shared" si="4"/>
        <v>0.16071428571428573</v>
      </c>
      <c r="O16" s="356">
        <f t="shared" si="5"/>
        <v>0.4642857142857143</v>
      </c>
      <c r="P16" s="349"/>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8"/>
      <c r="AS16" s="359"/>
      <c r="AT16" s="359"/>
      <c r="AU16" s="359"/>
      <c r="AV16" s="359"/>
      <c r="AW16" s="359"/>
      <c r="AX16" s="359"/>
      <c r="AY16" s="350">
        <v>1</v>
      </c>
      <c r="AZ16" s="359"/>
      <c r="BA16" s="359"/>
      <c r="BB16" s="359"/>
    </row>
    <row r="17" spans="1:54" x14ac:dyDescent="0.15">
      <c r="A17" s="352" t="s">
        <v>122</v>
      </c>
      <c r="B17" s="352" t="s">
        <v>1763</v>
      </c>
      <c r="C17" s="352" t="s">
        <v>374</v>
      </c>
      <c r="D17" s="352" t="s">
        <v>583</v>
      </c>
      <c r="E17" s="352" t="s">
        <v>1430</v>
      </c>
      <c r="F17" s="353">
        <v>39904</v>
      </c>
      <c r="G17" s="354">
        <v>42000</v>
      </c>
      <c r="H17" s="348">
        <v>55</v>
      </c>
      <c r="I17" s="348">
        <v>12</v>
      </c>
      <c r="J17" s="348">
        <v>12</v>
      </c>
      <c r="K17" s="348">
        <v>5</v>
      </c>
      <c r="L17" s="354">
        <f>335813+816+1500</f>
        <v>338129</v>
      </c>
      <c r="M17" s="355">
        <f t="shared" si="3"/>
        <v>6147.8</v>
      </c>
      <c r="N17" s="438">
        <f t="shared" si="4"/>
        <v>0.21818181818181817</v>
      </c>
      <c r="O17" s="356">
        <f t="shared" si="5"/>
        <v>0.52727272727272723</v>
      </c>
      <c r="P17" s="349"/>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9"/>
      <c r="AS17" s="359"/>
      <c r="AT17" s="359"/>
      <c r="AU17" s="359"/>
      <c r="AV17" s="359"/>
      <c r="AW17" s="359"/>
      <c r="AX17" s="359"/>
      <c r="AY17" s="350">
        <v>1</v>
      </c>
      <c r="AZ17" s="359"/>
      <c r="BA17" s="359"/>
      <c r="BB17" s="359"/>
    </row>
    <row r="18" spans="1:54" x14ac:dyDescent="0.15">
      <c r="A18" s="362" t="s">
        <v>375</v>
      </c>
      <c r="B18" s="362" t="s">
        <v>1503</v>
      </c>
      <c r="C18" s="362" t="s">
        <v>977</v>
      </c>
      <c r="D18" s="362" t="s">
        <v>978</v>
      </c>
      <c r="E18" s="362" t="s">
        <v>1213</v>
      </c>
      <c r="F18" s="363">
        <v>39222</v>
      </c>
      <c r="G18" s="364"/>
      <c r="H18" s="365">
        <v>19</v>
      </c>
      <c r="I18" s="365">
        <v>5</v>
      </c>
      <c r="J18" s="365">
        <v>8</v>
      </c>
      <c r="K18" s="365">
        <v>4</v>
      </c>
      <c r="L18" s="366">
        <v>332396</v>
      </c>
      <c r="M18" s="366">
        <f t="shared" si="0"/>
        <v>17494.526315789473</v>
      </c>
      <c r="N18" s="437">
        <f t="shared" si="1"/>
        <v>0.26315789473684209</v>
      </c>
      <c r="O18" s="367">
        <f t="shared" si="2"/>
        <v>0.89473684210526316</v>
      </c>
      <c r="P18" s="368" t="s">
        <v>1976</v>
      </c>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8"/>
      <c r="AS18" s="359"/>
      <c r="AT18" s="359"/>
      <c r="AU18" s="359"/>
      <c r="AV18" s="359"/>
      <c r="AW18" s="359"/>
      <c r="AX18" s="359"/>
      <c r="AY18" s="350">
        <v>1</v>
      </c>
      <c r="AZ18" s="359"/>
      <c r="BA18" s="359"/>
      <c r="BB18" s="350"/>
    </row>
    <row r="19" spans="1:54" x14ac:dyDescent="0.15">
      <c r="A19" s="362" t="s">
        <v>31</v>
      </c>
      <c r="B19" s="362" t="s">
        <v>94</v>
      </c>
      <c r="C19" s="362" t="s">
        <v>1470</v>
      </c>
      <c r="D19" s="362" t="s">
        <v>1471</v>
      </c>
      <c r="E19" s="362" t="s">
        <v>1506</v>
      </c>
      <c r="F19" s="363">
        <v>40266</v>
      </c>
      <c r="G19" s="364"/>
      <c r="H19" s="365">
        <v>48</v>
      </c>
      <c r="I19" s="365">
        <v>6</v>
      </c>
      <c r="J19" s="365">
        <v>10</v>
      </c>
      <c r="K19" s="365">
        <v>10</v>
      </c>
      <c r="L19" s="366">
        <f>313450+2750+300+1140+5600+250</f>
        <v>323490</v>
      </c>
      <c r="M19" s="366">
        <f>L19/H19</f>
        <v>6739.375</v>
      </c>
      <c r="N19" s="437">
        <f>I19/H19</f>
        <v>0.125</v>
      </c>
      <c r="O19" s="367">
        <f>SUM(I19:K19)/H19</f>
        <v>0.54166666666666663</v>
      </c>
      <c r="P19" s="368" t="s">
        <v>4128</v>
      </c>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8"/>
      <c r="AS19" s="359"/>
      <c r="AT19" s="359"/>
      <c r="AU19" s="359"/>
      <c r="AV19" s="359"/>
      <c r="AW19" s="359"/>
      <c r="AX19" s="359"/>
      <c r="AY19" s="350">
        <v>1</v>
      </c>
      <c r="AZ19" s="359"/>
      <c r="BA19" s="359"/>
      <c r="BB19" s="350"/>
    </row>
    <row r="20" spans="1:54" x14ac:dyDescent="0.15">
      <c r="A20" s="362" t="s">
        <v>1667</v>
      </c>
      <c r="B20" s="362" t="s">
        <v>713</v>
      </c>
      <c r="C20" s="362" t="s">
        <v>956</v>
      </c>
      <c r="D20" s="362" t="s">
        <v>459</v>
      </c>
      <c r="E20" s="362" t="s">
        <v>1329</v>
      </c>
      <c r="F20" s="363">
        <v>39521</v>
      </c>
      <c r="G20" s="364">
        <v>47856</v>
      </c>
      <c r="H20" s="365">
        <v>36</v>
      </c>
      <c r="I20" s="365">
        <v>2</v>
      </c>
      <c r="J20" s="365">
        <v>5</v>
      </c>
      <c r="K20" s="365">
        <v>5</v>
      </c>
      <c r="L20" s="366">
        <f>132626+30066+8204+0+15719+15719+30053+8204+0+9019+11870+58835+0+0+0</f>
        <v>320315</v>
      </c>
      <c r="M20" s="366">
        <f>L20/H20</f>
        <v>8897.6388888888887</v>
      </c>
      <c r="N20" s="437">
        <f>I20/H20</f>
        <v>5.5555555555555552E-2</v>
      </c>
      <c r="O20" s="367">
        <f>SUM(I20:K20)/H20</f>
        <v>0.33333333333333331</v>
      </c>
      <c r="P20" s="368" t="s">
        <v>4128</v>
      </c>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c r="AN20" s="357"/>
      <c r="AO20" s="357"/>
      <c r="AP20" s="357"/>
      <c r="AQ20" s="357"/>
      <c r="AR20" s="358"/>
      <c r="AS20" s="359"/>
      <c r="AT20" s="359"/>
      <c r="AU20" s="359"/>
      <c r="AV20" s="359"/>
      <c r="AW20" s="359"/>
      <c r="AX20" s="359"/>
      <c r="AY20" s="350">
        <v>1</v>
      </c>
      <c r="AZ20" s="359"/>
      <c r="BA20" s="359"/>
      <c r="BB20" s="350"/>
    </row>
    <row r="21" spans="1:54" x14ac:dyDescent="0.15">
      <c r="A21" s="362" t="s">
        <v>1259</v>
      </c>
      <c r="B21" s="362" t="s">
        <v>713</v>
      </c>
      <c r="C21" s="362" t="s">
        <v>949</v>
      </c>
      <c r="D21" s="362" t="s">
        <v>459</v>
      </c>
      <c r="E21" s="362" t="s">
        <v>1335</v>
      </c>
      <c r="F21" s="363">
        <v>39512</v>
      </c>
      <c r="G21" s="364">
        <v>90000</v>
      </c>
      <c r="H21" s="365">
        <v>14</v>
      </c>
      <c r="I21" s="365">
        <v>4</v>
      </c>
      <c r="J21" s="365">
        <v>3</v>
      </c>
      <c r="K21" s="365">
        <v>1</v>
      </c>
      <c r="L21" s="366">
        <v>309171</v>
      </c>
      <c r="M21" s="366">
        <f t="shared" si="0"/>
        <v>22083.642857142859</v>
      </c>
      <c r="N21" s="437">
        <f t="shared" si="1"/>
        <v>0.2857142857142857</v>
      </c>
      <c r="O21" s="367">
        <f t="shared" si="2"/>
        <v>0.5714285714285714</v>
      </c>
      <c r="P21" s="368" t="s">
        <v>3172</v>
      </c>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8"/>
      <c r="AS21" s="359"/>
      <c r="AT21" s="359"/>
      <c r="AU21" s="359"/>
      <c r="AV21" s="359"/>
      <c r="AW21" s="359"/>
      <c r="AX21" s="359"/>
      <c r="AY21" s="350">
        <v>1</v>
      </c>
      <c r="AZ21" s="359"/>
      <c r="BA21" s="359"/>
      <c r="BB21" s="350"/>
    </row>
    <row r="22" spans="1:54" x14ac:dyDescent="0.15">
      <c r="A22" s="362" t="s">
        <v>772</v>
      </c>
      <c r="B22" s="362" t="s">
        <v>1504</v>
      </c>
      <c r="C22" s="362" t="s">
        <v>786</v>
      </c>
      <c r="D22" s="362" t="s">
        <v>459</v>
      </c>
      <c r="E22" s="362" t="s">
        <v>267</v>
      </c>
      <c r="F22" s="363">
        <v>38820</v>
      </c>
      <c r="G22" s="364">
        <v>560512</v>
      </c>
      <c r="H22" s="365">
        <v>16</v>
      </c>
      <c r="I22" s="365">
        <v>2</v>
      </c>
      <c r="J22" s="365">
        <v>1</v>
      </c>
      <c r="K22" s="365">
        <v>1</v>
      </c>
      <c r="L22" s="366">
        <v>302295</v>
      </c>
      <c r="M22" s="366">
        <f t="shared" si="0"/>
        <v>18893.4375</v>
      </c>
      <c r="N22" s="437">
        <f t="shared" si="1"/>
        <v>0.125</v>
      </c>
      <c r="O22" s="367">
        <f t="shared" si="2"/>
        <v>0.25</v>
      </c>
      <c r="P22" s="368" t="s">
        <v>1604</v>
      </c>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8"/>
      <c r="AS22" s="359"/>
      <c r="AT22" s="359"/>
      <c r="AU22" s="359"/>
      <c r="AV22" s="359"/>
      <c r="AW22" s="359"/>
      <c r="AX22" s="359"/>
      <c r="AY22" s="350">
        <v>1</v>
      </c>
      <c r="AZ22" s="359"/>
      <c r="BA22" s="359" t="s">
        <v>2438</v>
      </c>
      <c r="BB22" s="350" t="s">
        <v>2438</v>
      </c>
    </row>
    <row r="23" spans="1:54" x14ac:dyDescent="0.15">
      <c r="A23" s="362" t="s">
        <v>1037</v>
      </c>
      <c r="B23" s="362" t="s">
        <v>969</v>
      </c>
      <c r="C23" s="362" t="s">
        <v>1017</v>
      </c>
      <c r="D23" s="362" t="s">
        <v>819</v>
      </c>
      <c r="E23" s="362" t="s">
        <v>2440</v>
      </c>
      <c r="F23" s="363">
        <v>39127</v>
      </c>
      <c r="G23" s="364">
        <v>150000</v>
      </c>
      <c r="H23" s="365">
        <v>24</v>
      </c>
      <c r="I23" s="365">
        <v>4</v>
      </c>
      <c r="J23" s="365">
        <v>7</v>
      </c>
      <c r="K23" s="365">
        <v>7</v>
      </c>
      <c r="L23" s="366">
        <v>297102</v>
      </c>
      <c r="M23" s="366">
        <f t="shared" si="0"/>
        <v>12379.25</v>
      </c>
      <c r="N23" s="437">
        <f t="shared" si="1"/>
        <v>0.16666666666666666</v>
      </c>
      <c r="O23" s="367">
        <f t="shared" si="2"/>
        <v>0.75</v>
      </c>
      <c r="P23" s="368" t="s">
        <v>1976</v>
      </c>
      <c r="Q23" s="357"/>
      <c r="R23" s="357"/>
      <c r="S23" s="357"/>
      <c r="T23" s="357"/>
      <c r="U23" s="357"/>
      <c r="V23" s="357"/>
      <c r="W23" s="357"/>
      <c r="X23" s="357"/>
      <c r="Y23" s="357"/>
      <c r="Z23" s="357"/>
      <c r="AA23" s="357"/>
      <c r="AB23" s="357"/>
      <c r="AC23" s="357"/>
      <c r="AD23" s="357"/>
      <c r="AE23" s="357"/>
      <c r="AF23" s="357"/>
      <c r="AG23" s="357"/>
      <c r="AH23" s="357"/>
      <c r="AI23" s="357"/>
      <c r="AJ23" s="357"/>
      <c r="AK23" s="357"/>
      <c r="AL23" s="357"/>
      <c r="AM23" s="357"/>
      <c r="AN23" s="357"/>
      <c r="AO23" s="357"/>
      <c r="AP23" s="357"/>
      <c r="AQ23" s="357"/>
      <c r="AR23" s="358"/>
      <c r="AS23" s="359"/>
      <c r="AT23" s="359"/>
      <c r="AU23" s="359"/>
      <c r="AV23" s="359"/>
      <c r="AW23" s="359"/>
      <c r="AX23" s="359"/>
      <c r="AY23" s="350">
        <v>1</v>
      </c>
      <c r="AZ23" s="359"/>
      <c r="BA23" s="359"/>
      <c r="BB23" s="350"/>
    </row>
    <row r="24" spans="1:54" x14ac:dyDescent="0.15">
      <c r="A24" s="352" t="s">
        <v>1666</v>
      </c>
      <c r="B24" s="352" t="s">
        <v>23</v>
      </c>
      <c r="C24" s="352" t="s">
        <v>463</v>
      </c>
      <c r="D24" s="352" t="s">
        <v>610</v>
      </c>
      <c r="E24" s="352" t="s">
        <v>1387</v>
      </c>
      <c r="F24" s="353">
        <v>40286</v>
      </c>
      <c r="G24" s="354"/>
      <c r="H24" s="348">
        <v>24</v>
      </c>
      <c r="I24" s="348">
        <v>10</v>
      </c>
      <c r="J24" s="348">
        <v>5</v>
      </c>
      <c r="K24" s="348">
        <v>2</v>
      </c>
      <c r="L24" s="354">
        <f>167650+17280+1000+2230+13380+200+10000+11700+16080+10000+16080+10000+20000</f>
        <v>295600</v>
      </c>
      <c r="M24" s="355">
        <f>L24/H24</f>
        <v>12316.666666666666</v>
      </c>
      <c r="N24" s="438">
        <f>I24/H24</f>
        <v>0.41666666666666669</v>
      </c>
      <c r="O24" s="356">
        <f>SUM(I24:K24)/H24</f>
        <v>0.70833333333333337</v>
      </c>
      <c r="P24" s="349"/>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c r="AN24" s="357"/>
      <c r="AO24" s="357"/>
      <c r="AP24" s="357"/>
      <c r="AQ24" s="357"/>
      <c r="AR24" s="359"/>
      <c r="AS24" s="359"/>
      <c r="AT24" s="359"/>
      <c r="AU24" s="359"/>
      <c r="AV24" s="359"/>
      <c r="AW24" s="359"/>
      <c r="AX24" s="359"/>
      <c r="AY24" s="350">
        <v>1</v>
      </c>
      <c r="AZ24" s="359"/>
      <c r="BA24" s="359"/>
      <c r="BB24" s="359"/>
    </row>
    <row r="25" spans="1:54" x14ac:dyDescent="0.15">
      <c r="A25" s="362" t="s">
        <v>892</v>
      </c>
      <c r="B25" s="362" t="s">
        <v>713</v>
      </c>
      <c r="C25" s="362" t="s">
        <v>456</v>
      </c>
      <c r="D25" s="362" t="s">
        <v>824</v>
      </c>
      <c r="E25" s="362" t="s">
        <v>1331</v>
      </c>
      <c r="F25" s="363">
        <v>38773</v>
      </c>
      <c r="G25" s="364"/>
      <c r="H25" s="365">
        <v>32</v>
      </c>
      <c r="I25" s="365">
        <v>8</v>
      </c>
      <c r="J25" s="365">
        <v>8</v>
      </c>
      <c r="K25" s="365">
        <v>5</v>
      </c>
      <c r="L25" s="366">
        <v>270184</v>
      </c>
      <c r="M25" s="366">
        <f t="shared" si="0"/>
        <v>8443.25</v>
      </c>
      <c r="N25" s="437">
        <f t="shared" si="1"/>
        <v>0.25</v>
      </c>
      <c r="O25" s="367">
        <f t="shared" si="2"/>
        <v>0.65625</v>
      </c>
      <c r="P25" s="368" t="s">
        <v>1593</v>
      </c>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7"/>
      <c r="AR25" s="359"/>
      <c r="AS25" s="359"/>
      <c r="AT25" s="359"/>
      <c r="AU25" s="359"/>
      <c r="AV25" s="359"/>
      <c r="AW25" s="359"/>
      <c r="AX25" s="359"/>
      <c r="AY25" s="350">
        <v>1</v>
      </c>
      <c r="AZ25" s="359"/>
      <c r="BA25" s="359" t="s">
        <v>2438</v>
      </c>
      <c r="BB25" s="350" t="s">
        <v>2438</v>
      </c>
    </row>
    <row r="26" spans="1:54" x14ac:dyDescent="0.15">
      <c r="A26" s="362" t="s">
        <v>1530</v>
      </c>
      <c r="B26" s="362" t="s">
        <v>2137</v>
      </c>
      <c r="C26" s="362" t="s">
        <v>364</v>
      </c>
      <c r="D26" s="362" t="s">
        <v>365</v>
      </c>
      <c r="E26" s="362" t="s">
        <v>1351</v>
      </c>
      <c r="F26" s="363">
        <v>39844</v>
      </c>
      <c r="G26" s="364">
        <v>45388</v>
      </c>
      <c r="H26" s="365">
        <v>9</v>
      </c>
      <c r="I26" s="365">
        <v>4</v>
      </c>
      <c r="J26" s="365">
        <v>1</v>
      </c>
      <c r="K26" s="365">
        <v>1</v>
      </c>
      <c r="L26" s="364">
        <v>264907</v>
      </c>
      <c r="M26" s="366">
        <f t="shared" si="0"/>
        <v>29434.111111111109</v>
      </c>
      <c r="N26" s="437">
        <f t="shared" si="1"/>
        <v>0.44444444444444442</v>
      </c>
      <c r="O26" s="367">
        <f t="shared" si="2"/>
        <v>0.66666666666666663</v>
      </c>
      <c r="P26" s="368" t="s">
        <v>1976</v>
      </c>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c r="AO26" s="357"/>
      <c r="AP26" s="357"/>
      <c r="AQ26" s="357"/>
      <c r="AR26" s="359"/>
      <c r="AS26" s="359"/>
      <c r="AT26" s="359"/>
      <c r="AU26" s="359"/>
      <c r="AV26" s="359"/>
      <c r="AW26" s="359"/>
      <c r="AX26" s="359"/>
      <c r="AY26" s="350">
        <v>1</v>
      </c>
      <c r="AZ26" s="359"/>
      <c r="BA26" s="359"/>
      <c r="BB26" s="359"/>
    </row>
    <row r="27" spans="1:54" x14ac:dyDescent="0.15">
      <c r="A27" s="362" t="s">
        <v>2401</v>
      </c>
      <c r="B27" s="362" t="s">
        <v>1400</v>
      </c>
      <c r="C27" s="362" t="s">
        <v>949</v>
      </c>
      <c r="D27" s="362" t="s">
        <v>459</v>
      </c>
      <c r="E27" s="362" t="s">
        <v>1335</v>
      </c>
      <c r="F27" s="363">
        <v>41040</v>
      </c>
      <c r="G27" s="364"/>
      <c r="H27" s="365">
        <v>12</v>
      </c>
      <c r="I27" s="365">
        <v>4</v>
      </c>
      <c r="J27" s="365">
        <v>4</v>
      </c>
      <c r="K27" s="365">
        <v>1</v>
      </c>
      <c r="L27" s="366">
        <f>139050+7854+500+42840+14560+42600+15120+500</f>
        <v>263024</v>
      </c>
      <c r="M27" s="366">
        <f>L27/H27</f>
        <v>21918.666666666668</v>
      </c>
      <c r="N27" s="437">
        <f>I27/H27</f>
        <v>0.33333333333333331</v>
      </c>
      <c r="O27" s="367">
        <f>SUM(I27:K27)/H27</f>
        <v>0.75</v>
      </c>
      <c r="P27" s="368" t="s">
        <v>4725</v>
      </c>
      <c r="Q27" s="357"/>
      <c r="R27" s="357"/>
      <c r="S27" s="357"/>
      <c r="T27" s="357"/>
      <c r="U27" s="357"/>
      <c r="V27" s="357"/>
      <c r="W27" s="357"/>
      <c r="X27" s="357"/>
      <c r="Y27" s="357"/>
      <c r="Z27" s="357"/>
      <c r="AA27" s="357"/>
      <c r="AB27" s="357"/>
      <c r="AC27" s="357"/>
      <c r="AD27" s="357"/>
      <c r="AE27" s="357"/>
      <c r="AF27" s="357"/>
      <c r="AG27" s="357"/>
      <c r="AH27" s="357"/>
      <c r="AI27" s="357"/>
      <c r="AJ27" s="357"/>
      <c r="AK27" s="357"/>
      <c r="AL27" s="357"/>
      <c r="AM27" s="357"/>
      <c r="AN27" s="357"/>
      <c r="AO27" s="357"/>
      <c r="AP27" s="357"/>
      <c r="AQ27" s="357"/>
      <c r="AR27" s="358"/>
      <c r="AS27" s="359"/>
      <c r="AT27" s="359"/>
      <c r="AU27" s="359"/>
      <c r="AV27" s="359"/>
      <c r="AW27" s="359"/>
      <c r="AX27" s="359"/>
      <c r="AY27" s="350"/>
      <c r="AZ27" s="359"/>
      <c r="BA27" s="359"/>
      <c r="BB27" s="350"/>
    </row>
    <row r="28" spans="1:54" x14ac:dyDescent="0.15">
      <c r="A28" s="362" t="s">
        <v>984</v>
      </c>
      <c r="B28" s="362" t="s">
        <v>1159</v>
      </c>
      <c r="C28" s="362" t="s">
        <v>535</v>
      </c>
      <c r="D28" s="362" t="s">
        <v>459</v>
      </c>
      <c r="E28" s="362" t="s">
        <v>646</v>
      </c>
      <c r="F28" s="363">
        <v>38761</v>
      </c>
      <c r="G28" s="364">
        <v>600000</v>
      </c>
      <c r="H28" s="365">
        <v>47</v>
      </c>
      <c r="I28" s="365">
        <v>14</v>
      </c>
      <c r="J28" s="365">
        <v>7</v>
      </c>
      <c r="K28" s="365">
        <v>7</v>
      </c>
      <c r="L28" s="364">
        <f>242874+54+200+71+710</f>
        <v>243909</v>
      </c>
      <c r="M28" s="366">
        <f t="shared" si="0"/>
        <v>5189.5531914893618</v>
      </c>
      <c r="N28" s="437">
        <f t="shared" si="1"/>
        <v>0.2978723404255319</v>
      </c>
      <c r="O28" s="367">
        <f t="shared" si="2"/>
        <v>0.5957446808510638</v>
      </c>
      <c r="P28" s="368" t="s">
        <v>4128</v>
      </c>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9"/>
      <c r="AS28" s="359"/>
      <c r="AT28" s="359"/>
      <c r="AU28" s="359"/>
      <c r="AV28" s="359"/>
      <c r="AW28" s="359"/>
      <c r="AX28" s="359"/>
      <c r="AY28" s="350">
        <v>1</v>
      </c>
      <c r="AZ28" s="359"/>
      <c r="BA28" s="359" t="s">
        <v>2438</v>
      </c>
      <c r="BB28" s="359" t="s">
        <v>2438</v>
      </c>
    </row>
    <row r="29" spans="1:54" x14ac:dyDescent="0.15">
      <c r="A29" s="352" t="s">
        <v>1831</v>
      </c>
      <c r="B29" s="352" t="s">
        <v>2213</v>
      </c>
      <c r="C29" s="352" t="s">
        <v>1240</v>
      </c>
      <c r="D29" s="352" t="s">
        <v>1271</v>
      </c>
      <c r="E29" s="352" t="s">
        <v>1335</v>
      </c>
      <c r="F29" s="353">
        <v>40228</v>
      </c>
      <c r="G29" s="354"/>
      <c r="H29" s="348">
        <v>27</v>
      </c>
      <c r="I29" s="348">
        <v>5</v>
      </c>
      <c r="J29" s="348">
        <v>6</v>
      </c>
      <c r="K29" s="348">
        <v>2</v>
      </c>
      <c r="L29" s="354">
        <f>231900+375+5320</f>
        <v>237595</v>
      </c>
      <c r="M29" s="355">
        <f>L29/H29</f>
        <v>8799.8148148148157</v>
      </c>
      <c r="N29" s="438">
        <f>I29/H29</f>
        <v>0.18518518518518517</v>
      </c>
      <c r="O29" s="356">
        <f>SUM(I29:K29)/H29</f>
        <v>0.48148148148148145</v>
      </c>
      <c r="P29" s="349"/>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9"/>
      <c r="AS29" s="359"/>
      <c r="AT29" s="359"/>
      <c r="AU29" s="359"/>
      <c r="AV29" s="359"/>
      <c r="AW29" s="359"/>
      <c r="AX29" s="359"/>
      <c r="AY29" s="350">
        <v>1</v>
      </c>
      <c r="AZ29" s="359"/>
      <c r="BA29" s="359"/>
      <c r="BB29" s="359"/>
    </row>
    <row r="30" spans="1:54" x14ac:dyDescent="0.15">
      <c r="A30" s="352" t="s">
        <v>1119</v>
      </c>
      <c r="B30" s="352" t="s">
        <v>969</v>
      </c>
      <c r="C30" s="352" t="s">
        <v>877</v>
      </c>
      <c r="D30" s="352" t="s">
        <v>937</v>
      </c>
      <c r="E30" s="352" t="s">
        <v>284</v>
      </c>
      <c r="F30" s="353">
        <v>39159</v>
      </c>
      <c r="G30" s="354">
        <v>350000</v>
      </c>
      <c r="H30" s="348">
        <v>37</v>
      </c>
      <c r="I30" s="348">
        <v>8</v>
      </c>
      <c r="J30" s="348">
        <v>7</v>
      </c>
      <c r="K30" s="348">
        <v>3</v>
      </c>
      <c r="L30" s="354">
        <f>215883+3000+3750+2000+11700</f>
        <v>236333</v>
      </c>
      <c r="M30" s="355">
        <f>L30/H30</f>
        <v>6387.3783783783783</v>
      </c>
      <c r="N30" s="438">
        <f>I30/H30</f>
        <v>0.21621621621621623</v>
      </c>
      <c r="O30" s="356">
        <f>SUM(I30:K30)/H30</f>
        <v>0.48648648648648651</v>
      </c>
      <c r="P30" s="349"/>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7"/>
      <c r="AR30" s="359"/>
      <c r="AS30" s="359"/>
      <c r="AT30" s="359"/>
      <c r="AU30" s="359"/>
      <c r="AV30" s="359"/>
      <c r="AW30" s="359"/>
      <c r="AX30" s="359"/>
      <c r="AY30" s="350">
        <v>1</v>
      </c>
      <c r="AZ30" s="359"/>
      <c r="BA30" s="359"/>
      <c r="BB30" s="359"/>
    </row>
    <row r="31" spans="1:54" x14ac:dyDescent="0.15">
      <c r="A31" s="362" t="s">
        <v>188</v>
      </c>
      <c r="B31" s="362" t="s">
        <v>111</v>
      </c>
      <c r="C31" s="362" t="s">
        <v>823</v>
      </c>
      <c r="D31" s="362" t="s">
        <v>676</v>
      </c>
      <c r="E31" s="362" t="s">
        <v>233</v>
      </c>
      <c r="F31" s="369">
        <v>39487</v>
      </c>
      <c r="G31" s="364">
        <v>180000</v>
      </c>
      <c r="H31" s="365">
        <v>12</v>
      </c>
      <c r="I31" s="365">
        <v>4</v>
      </c>
      <c r="J31" s="365">
        <v>2</v>
      </c>
      <c r="K31" s="365">
        <v>1</v>
      </c>
      <c r="L31" s="364">
        <v>232289</v>
      </c>
      <c r="M31" s="366">
        <f t="shared" si="0"/>
        <v>19357.416666666668</v>
      </c>
      <c r="N31" s="437">
        <f t="shared" si="1"/>
        <v>0.33333333333333331</v>
      </c>
      <c r="O31" s="367">
        <f t="shared" si="2"/>
        <v>0.58333333333333337</v>
      </c>
      <c r="P31" s="368" t="s">
        <v>1976</v>
      </c>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c r="AO31" s="357"/>
      <c r="AP31" s="357"/>
      <c r="AQ31" s="357"/>
      <c r="AR31" s="359"/>
      <c r="AS31" s="359"/>
      <c r="AT31" s="359"/>
      <c r="AU31" s="359"/>
      <c r="AV31" s="359"/>
      <c r="AW31" s="359"/>
      <c r="AX31" s="359"/>
      <c r="AY31" s="350">
        <v>1</v>
      </c>
      <c r="AZ31" s="359"/>
      <c r="BA31" s="359"/>
      <c r="BB31" s="359"/>
    </row>
    <row r="32" spans="1:54" x14ac:dyDescent="0.15">
      <c r="A32" s="352" t="s">
        <v>70</v>
      </c>
      <c r="B32" s="352" t="s">
        <v>1511</v>
      </c>
      <c r="C32" s="352" t="s">
        <v>472</v>
      </c>
      <c r="D32" s="352" t="s">
        <v>1021</v>
      </c>
      <c r="E32" s="352" t="s">
        <v>149</v>
      </c>
      <c r="F32" s="353">
        <v>39852</v>
      </c>
      <c r="G32" s="354">
        <v>17000</v>
      </c>
      <c r="H32" s="348">
        <v>25</v>
      </c>
      <c r="I32" s="348">
        <v>5</v>
      </c>
      <c r="J32" s="348">
        <v>6</v>
      </c>
      <c r="K32" s="348">
        <v>2</v>
      </c>
      <c r="L32" s="354">
        <f>211802+964+14277+682+226+225</f>
        <v>228176</v>
      </c>
      <c r="M32" s="355">
        <f>L32/H32</f>
        <v>9127.0400000000009</v>
      </c>
      <c r="N32" s="438">
        <f>I32/H32</f>
        <v>0.2</v>
      </c>
      <c r="O32" s="356">
        <f>SUM(I32:K32)/H32</f>
        <v>0.52</v>
      </c>
      <c r="P32" s="349"/>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c r="AO32" s="357"/>
      <c r="AP32" s="357"/>
      <c r="AQ32" s="357"/>
      <c r="AR32" s="358"/>
      <c r="AS32" s="359"/>
      <c r="AT32" s="359"/>
      <c r="AU32" s="359"/>
      <c r="AV32" s="359"/>
      <c r="AW32" s="359"/>
      <c r="AX32" s="359"/>
      <c r="AY32" s="350">
        <v>1</v>
      </c>
      <c r="AZ32" s="359"/>
      <c r="BA32" s="359"/>
      <c r="BB32" s="359"/>
    </row>
    <row r="33" spans="1:54" x14ac:dyDescent="0.15">
      <c r="A33" s="362" t="s">
        <v>830</v>
      </c>
      <c r="B33" s="362" t="s">
        <v>713</v>
      </c>
      <c r="C33" s="362" t="s">
        <v>658</v>
      </c>
      <c r="D33" s="362" t="s">
        <v>715</v>
      </c>
      <c r="E33" s="362" t="s">
        <v>311</v>
      </c>
      <c r="F33" s="369">
        <v>38762</v>
      </c>
      <c r="G33" s="364">
        <v>170000</v>
      </c>
      <c r="H33" s="365">
        <v>23</v>
      </c>
      <c r="I33" s="365">
        <v>11</v>
      </c>
      <c r="J33" s="365">
        <v>6</v>
      </c>
      <c r="K33" s="365">
        <v>4</v>
      </c>
      <c r="L33" s="364">
        <v>227825</v>
      </c>
      <c r="M33" s="366">
        <f t="shared" si="0"/>
        <v>9905.434782608696</v>
      </c>
      <c r="N33" s="437">
        <f t="shared" si="1"/>
        <v>0.47826086956521741</v>
      </c>
      <c r="O33" s="367">
        <f t="shared" si="2"/>
        <v>0.91304347826086951</v>
      </c>
      <c r="P33" s="368" t="s">
        <v>2282</v>
      </c>
      <c r="Q33" s="357"/>
      <c r="R33" s="357"/>
      <c r="S33" s="357"/>
      <c r="T33" s="357"/>
      <c r="U33" s="357"/>
      <c r="V33" s="357"/>
      <c r="W33" s="357"/>
      <c r="X33" s="357"/>
      <c r="Y33" s="357"/>
      <c r="Z33" s="357"/>
      <c r="AA33" s="357"/>
      <c r="AB33" s="357"/>
      <c r="AC33" s="357"/>
      <c r="AD33" s="357"/>
      <c r="AE33" s="357"/>
      <c r="AF33" s="357"/>
      <c r="AG33" s="357"/>
      <c r="AH33" s="357"/>
      <c r="AI33" s="357"/>
      <c r="AJ33" s="357"/>
      <c r="AK33" s="357"/>
      <c r="AL33" s="357"/>
      <c r="AM33" s="357"/>
      <c r="AN33" s="357"/>
      <c r="AO33" s="357"/>
      <c r="AP33" s="357"/>
      <c r="AQ33" s="357"/>
      <c r="AR33" s="359"/>
      <c r="AS33" s="359"/>
      <c r="AT33" s="359"/>
      <c r="AU33" s="359"/>
      <c r="AV33" s="359"/>
      <c r="AW33" s="359"/>
      <c r="AX33" s="359"/>
      <c r="AY33" s="350">
        <v>1</v>
      </c>
      <c r="AZ33" s="359"/>
      <c r="BA33" s="359" t="s">
        <v>2439</v>
      </c>
      <c r="BB33" s="359">
        <v>57825</v>
      </c>
    </row>
    <row r="34" spans="1:54" x14ac:dyDescent="0.15">
      <c r="A34" s="362" t="s">
        <v>1219</v>
      </c>
      <c r="B34" s="362" t="s">
        <v>493</v>
      </c>
      <c r="C34" s="362" t="s">
        <v>902</v>
      </c>
      <c r="D34" s="362" t="s">
        <v>2441</v>
      </c>
      <c r="E34" s="362" t="s">
        <v>1228</v>
      </c>
      <c r="F34" s="363">
        <v>38778</v>
      </c>
      <c r="G34" s="364">
        <v>100000</v>
      </c>
      <c r="H34" s="365">
        <v>10</v>
      </c>
      <c r="I34" s="365">
        <v>4</v>
      </c>
      <c r="J34" s="365">
        <v>4</v>
      </c>
      <c r="K34" s="365">
        <v>0</v>
      </c>
      <c r="L34" s="366">
        <v>223800</v>
      </c>
      <c r="M34" s="366">
        <f t="shared" si="0"/>
        <v>22380</v>
      </c>
      <c r="N34" s="437">
        <f t="shared" si="1"/>
        <v>0.4</v>
      </c>
      <c r="O34" s="367">
        <f t="shared" si="2"/>
        <v>0.8</v>
      </c>
      <c r="P34" s="368" t="s">
        <v>1593</v>
      </c>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8"/>
      <c r="AS34" s="359"/>
      <c r="AT34" s="359"/>
      <c r="AU34" s="359"/>
      <c r="AV34" s="359"/>
      <c r="AW34" s="359"/>
      <c r="AX34" s="359"/>
      <c r="AY34" s="350">
        <v>1</v>
      </c>
      <c r="AZ34" s="359"/>
      <c r="BA34" s="359" t="s">
        <v>2439</v>
      </c>
      <c r="BB34" s="350">
        <v>123800</v>
      </c>
    </row>
    <row r="35" spans="1:54" x14ac:dyDescent="0.15">
      <c r="A35" s="362" t="s">
        <v>359</v>
      </c>
      <c r="B35" s="362" t="s">
        <v>112</v>
      </c>
      <c r="C35" s="362" t="s">
        <v>519</v>
      </c>
      <c r="D35" s="362" t="s">
        <v>820</v>
      </c>
      <c r="E35" s="362" t="s">
        <v>291</v>
      </c>
      <c r="F35" s="363">
        <v>39151</v>
      </c>
      <c r="G35" s="364"/>
      <c r="H35" s="365">
        <v>46</v>
      </c>
      <c r="I35" s="365">
        <v>8</v>
      </c>
      <c r="J35" s="365">
        <v>5</v>
      </c>
      <c r="K35" s="365">
        <v>16</v>
      </c>
      <c r="L35" s="366">
        <f>196596+1485+1925</f>
        <v>200006</v>
      </c>
      <c r="M35" s="366">
        <f t="shared" si="0"/>
        <v>4347.95652173913</v>
      </c>
      <c r="N35" s="437">
        <f t="shared" si="1"/>
        <v>0.17391304347826086</v>
      </c>
      <c r="O35" s="367">
        <f t="shared" si="2"/>
        <v>0.63043478260869568</v>
      </c>
      <c r="P35" s="368" t="s">
        <v>3172</v>
      </c>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8"/>
      <c r="AS35" s="359"/>
      <c r="AT35" s="359"/>
      <c r="AU35" s="359"/>
      <c r="AV35" s="359"/>
      <c r="AW35" s="359"/>
      <c r="AX35" s="359"/>
      <c r="AY35" s="350">
        <v>1</v>
      </c>
      <c r="AZ35" s="359"/>
      <c r="BA35" s="359"/>
      <c r="BB35" s="350"/>
    </row>
    <row r="36" spans="1:54" x14ac:dyDescent="0.15">
      <c r="A36" s="362" t="s">
        <v>406</v>
      </c>
      <c r="B36" s="362" t="s">
        <v>1513</v>
      </c>
      <c r="C36" s="362" t="s">
        <v>1113</v>
      </c>
      <c r="D36" s="362" t="s">
        <v>459</v>
      </c>
      <c r="E36" s="362" t="s">
        <v>1492</v>
      </c>
      <c r="F36" s="363">
        <v>39108</v>
      </c>
      <c r="G36" s="364">
        <v>100000</v>
      </c>
      <c r="H36" s="365">
        <v>12</v>
      </c>
      <c r="I36" s="365">
        <v>4</v>
      </c>
      <c r="J36" s="365">
        <v>3</v>
      </c>
      <c r="K36" s="365">
        <v>1</v>
      </c>
      <c r="L36" s="364">
        <v>191961</v>
      </c>
      <c r="M36" s="366">
        <f t="shared" si="0"/>
        <v>15996.75</v>
      </c>
      <c r="N36" s="437">
        <f t="shared" si="1"/>
        <v>0.33333333333333331</v>
      </c>
      <c r="O36" s="367">
        <f t="shared" si="2"/>
        <v>0.66666666666666663</v>
      </c>
      <c r="P36" s="368" t="s">
        <v>1689</v>
      </c>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8"/>
      <c r="AS36" s="359"/>
      <c r="AT36" s="359"/>
      <c r="AU36" s="359"/>
      <c r="AV36" s="359"/>
      <c r="AW36" s="359"/>
      <c r="AX36" s="359"/>
      <c r="AY36" s="350">
        <v>1</v>
      </c>
      <c r="AZ36" s="359"/>
      <c r="BA36" s="359"/>
      <c r="BB36" s="359"/>
    </row>
    <row r="37" spans="1:54" x14ac:dyDescent="0.15">
      <c r="A37" s="362" t="s">
        <v>2442</v>
      </c>
      <c r="B37" s="362" t="s">
        <v>111</v>
      </c>
      <c r="C37" s="362" t="s">
        <v>855</v>
      </c>
      <c r="D37" s="362" t="s">
        <v>813</v>
      </c>
      <c r="E37" s="362" t="s">
        <v>255</v>
      </c>
      <c r="F37" s="363">
        <v>38939</v>
      </c>
      <c r="G37" s="364">
        <v>231840</v>
      </c>
      <c r="H37" s="365">
        <v>19</v>
      </c>
      <c r="I37" s="365">
        <v>6</v>
      </c>
      <c r="J37" s="365">
        <v>1</v>
      </c>
      <c r="K37" s="365">
        <v>3</v>
      </c>
      <c r="L37" s="366">
        <v>190468</v>
      </c>
      <c r="M37" s="366">
        <f t="shared" si="0"/>
        <v>10024.631578947368</v>
      </c>
      <c r="N37" s="437">
        <f t="shared" si="1"/>
        <v>0.31578947368421051</v>
      </c>
      <c r="O37" s="367">
        <f t="shared" si="2"/>
        <v>0.52631578947368418</v>
      </c>
      <c r="P37" s="368" t="s">
        <v>1689</v>
      </c>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8"/>
      <c r="AS37" s="359"/>
      <c r="AT37" s="359"/>
      <c r="AU37" s="359"/>
      <c r="AV37" s="359"/>
      <c r="AW37" s="359"/>
      <c r="AX37" s="359"/>
      <c r="AY37" s="350">
        <v>1</v>
      </c>
      <c r="AZ37" s="359"/>
      <c r="BA37" s="359" t="s">
        <v>2438</v>
      </c>
      <c r="BB37" s="350" t="s">
        <v>2438</v>
      </c>
    </row>
    <row r="38" spans="1:54" x14ac:dyDescent="0.15">
      <c r="A38" s="362" t="s">
        <v>773</v>
      </c>
      <c r="B38" s="362" t="s">
        <v>969</v>
      </c>
      <c r="C38" s="362" t="s">
        <v>706</v>
      </c>
      <c r="D38" s="362" t="s">
        <v>725</v>
      </c>
      <c r="E38" s="362" t="s">
        <v>2443</v>
      </c>
      <c r="F38" s="363">
        <v>38809</v>
      </c>
      <c r="G38" s="364"/>
      <c r="H38" s="365">
        <v>30</v>
      </c>
      <c r="I38" s="365">
        <v>13</v>
      </c>
      <c r="J38" s="365">
        <v>5</v>
      </c>
      <c r="K38" s="365">
        <v>3</v>
      </c>
      <c r="L38" s="366">
        <v>189755</v>
      </c>
      <c r="M38" s="366">
        <f t="shared" si="0"/>
        <v>6325.166666666667</v>
      </c>
      <c r="N38" s="437">
        <f t="shared" si="1"/>
        <v>0.43333333333333335</v>
      </c>
      <c r="O38" s="367">
        <f t="shared" si="2"/>
        <v>0.7</v>
      </c>
      <c r="P38" s="370" t="s">
        <v>1976</v>
      </c>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7"/>
      <c r="AO38" s="357"/>
      <c r="AP38" s="357"/>
      <c r="AQ38" s="357"/>
      <c r="AR38" s="358"/>
      <c r="AS38" s="359"/>
      <c r="AT38" s="359"/>
      <c r="AU38" s="359"/>
      <c r="AV38" s="359"/>
      <c r="AW38" s="359"/>
      <c r="AX38" s="359"/>
      <c r="AY38" s="350">
        <v>1</v>
      </c>
      <c r="AZ38" s="359"/>
      <c r="BA38" s="359" t="s">
        <v>2438</v>
      </c>
      <c r="BB38" s="350" t="s">
        <v>2438</v>
      </c>
    </row>
    <row r="39" spans="1:54" x14ac:dyDescent="0.15">
      <c r="A39" s="362" t="s">
        <v>1121</v>
      </c>
      <c r="B39" s="362" t="s">
        <v>112</v>
      </c>
      <c r="C39" s="362" t="s">
        <v>727</v>
      </c>
      <c r="D39" s="362" t="s">
        <v>957</v>
      </c>
      <c r="E39" s="362" t="s">
        <v>2444</v>
      </c>
      <c r="F39" s="363">
        <v>39178</v>
      </c>
      <c r="G39" s="364"/>
      <c r="H39" s="365">
        <v>21</v>
      </c>
      <c r="I39" s="365">
        <v>3</v>
      </c>
      <c r="J39" s="365">
        <v>4</v>
      </c>
      <c r="K39" s="365">
        <v>5</v>
      </c>
      <c r="L39" s="364">
        <v>185550</v>
      </c>
      <c r="M39" s="366">
        <f t="shared" si="0"/>
        <v>8835.7142857142862</v>
      </c>
      <c r="N39" s="437">
        <f t="shared" si="1"/>
        <v>0.14285714285714285</v>
      </c>
      <c r="O39" s="367">
        <f t="shared" si="2"/>
        <v>0.5714285714285714</v>
      </c>
      <c r="P39" s="368" t="s">
        <v>1604</v>
      </c>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8"/>
      <c r="AS39" s="359"/>
      <c r="AT39" s="359"/>
      <c r="AU39" s="359"/>
      <c r="AV39" s="359"/>
      <c r="AW39" s="359"/>
      <c r="AX39" s="359"/>
      <c r="AY39" s="350">
        <v>1</v>
      </c>
      <c r="AZ39" s="359"/>
      <c r="BA39" s="359"/>
      <c r="BB39" s="359"/>
    </row>
    <row r="40" spans="1:54" x14ac:dyDescent="0.15">
      <c r="A40" s="352" t="s">
        <v>345</v>
      </c>
      <c r="B40" s="352" t="s">
        <v>713</v>
      </c>
      <c r="C40" s="352" t="s">
        <v>1138</v>
      </c>
      <c r="D40" s="352" t="s">
        <v>1139</v>
      </c>
      <c r="E40" s="352" t="s">
        <v>1326</v>
      </c>
      <c r="F40" s="353">
        <v>39922</v>
      </c>
      <c r="G40" s="354"/>
      <c r="H40" s="348">
        <v>24</v>
      </c>
      <c r="I40" s="348">
        <v>4</v>
      </c>
      <c r="J40" s="348">
        <v>1</v>
      </c>
      <c r="K40" s="348">
        <v>5</v>
      </c>
      <c r="L40" s="354">
        <v>188040</v>
      </c>
      <c r="M40" s="355">
        <f>L40/H40</f>
        <v>7835</v>
      </c>
      <c r="N40" s="438">
        <f>I40/H40</f>
        <v>0.16666666666666666</v>
      </c>
      <c r="O40" s="356">
        <f>SUM(I40:K40)/H40</f>
        <v>0.41666666666666669</v>
      </c>
      <c r="P40" s="349"/>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357"/>
      <c r="AN40" s="357"/>
      <c r="AO40" s="357"/>
      <c r="AP40" s="357"/>
      <c r="AQ40" s="357"/>
      <c r="AR40" s="358"/>
      <c r="AS40" s="359"/>
      <c r="AT40" s="359"/>
      <c r="AU40" s="359"/>
      <c r="AV40" s="359"/>
      <c r="AW40" s="359"/>
      <c r="AX40" s="359"/>
      <c r="AY40" s="350">
        <v>1</v>
      </c>
      <c r="AZ40" s="359"/>
      <c r="BA40" s="359"/>
      <c r="BB40" s="359"/>
    </row>
    <row r="41" spans="1:54" x14ac:dyDescent="0.15">
      <c r="A41" s="352" t="s">
        <v>2155</v>
      </c>
      <c r="B41" s="352" t="s">
        <v>3271</v>
      </c>
      <c r="C41" s="352" t="s">
        <v>1619</v>
      </c>
      <c r="D41" s="352" t="s">
        <v>898</v>
      </c>
      <c r="E41" s="352" t="s">
        <v>1767</v>
      </c>
      <c r="F41" s="353">
        <v>40985</v>
      </c>
      <c r="G41" s="354"/>
      <c r="H41" s="348">
        <v>16</v>
      </c>
      <c r="I41" s="348">
        <v>5</v>
      </c>
      <c r="J41" s="348">
        <v>1</v>
      </c>
      <c r="K41" s="348">
        <v>0</v>
      </c>
      <c r="L41" s="354">
        <f>103794+900+1800+45000+33345</f>
        <v>184839</v>
      </c>
      <c r="M41" s="354">
        <f>L41/H41</f>
        <v>11552.4375</v>
      </c>
      <c r="N41" s="438">
        <f>I41/H41</f>
        <v>0.3125</v>
      </c>
      <c r="O41" s="356">
        <f>SUM(I41:K41)/H41</f>
        <v>0.375</v>
      </c>
      <c r="P41" s="349"/>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9"/>
      <c r="AS41" s="359"/>
      <c r="AT41" s="359"/>
      <c r="AU41" s="359"/>
      <c r="AV41" s="359"/>
      <c r="AW41" s="359"/>
      <c r="AX41" s="359"/>
      <c r="AY41" s="350"/>
      <c r="AZ41" s="359"/>
      <c r="BA41" s="359"/>
      <c r="BB41" s="359"/>
    </row>
    <row r="42" spans="1:54" x14ac:dyDescent="0.15">
      <c r="A42" s="362" t="s">
        <v>1883</v>
      </c>
      <c r="B42" s="362" t="s">
        <v>111</v>
      </c>
      <c r="C42" s="362" t="s">
        <v>1062</v>
      </c>
      <c r="D42" s="362" t="s">
        <v>704</v>
      </c>
      <c r="E42" s="362" t="s">
        <v>1350</v>
      </c>
      <c r="F42" s="363">
        <v>40251</v>
      </c>
      <c r="G42" s="364">
        <v>16000</v>
      </c>
      <c r="H42" s="365">
        <v>10</v>
      </c>
      <c r="I42" s="365">
        <v>5</v>
      </c>
      <c r="J42" s="365">
        <v>3</v>
      </c>
      <c r="K42" s="365">
        <v>1</v>
      </c>
      <c r="L42" s="366">
        <v>182413</v>
      </c>
      <c r="M42" s="366">
        <f>L42/H42</f>
        <v>18241.3</v>
      </c>
      <c r="N42" s="437">
        <f>I42/H42</f>
        <v>0.5</v>
      </c>
      <c r="O42" s="367">
        <f>SUM(I42:K42)/H42</f>
        <v>0.9</v>
      </c>
      <c r="P42" s="368" t="s">
        <v>3344</v>
      </c>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8"/>
      <c r="AS42" s="359"/>
      <c r="AT42" s="359"/>
      <c r="AU42" s="359"/>
      <c r="AV42" s="359"/>
      <c r="AW42" s="359"/>
      <c r="AX42" s="359"/>
      <c r="AY42" s="350">
        <v>1</v>
      </c>
      <c r="AZ42" s="359"/>
      <c r="BA42" s="359"/>
      <c r="BB42" s="350"/>
    </row>
    <row r="43" spans="1:54" x14ac:dyDescent="0.15">
      <c r="A43" s="362" t="s">
        <v>517</v>
      </c>
      <c r="B43" s="362" t="s">
        <v>113</v>
      </c>
      <c r="C43" s="362" t="s">
        <v>975</v>
      </c>
      <c r="D43" s="362" t="s">
        <v>940</v>
      </c>
      <c r="E43" s="362" t="s">
        <v>414</v>
      </c>
      <c r="F43" s="363">
        <v>38749</v>
      </c>
      <c r="G43" s="364"/>
      <c r="H43" s="365">
        <v>14</v>
      </c>
      <c r="I43" s="365">
        <v>5</v>
      </c>
      <c r="J43" s="365">
        <v>1</v>
      </c>
      <c r="K43" s="365">
        <v>2</v>
      </c>
      <c r="L43" s="366">
        <v>181992</v>
      </c>
      <c r="M43" s="366">
        <f t="shared" si="0"/>
        <v>12999.428571428571</v>
      </c>
      <c r="N43" s="437">
        <f t="shared" si="1"/>
        <v>0.35714285714285715</v>
      </c>
      <c r="O43" s="367">
        <f t="shared" si="2"/>
        <v>0.5714285714285714</v>
      </c>
      <c r="P43" s="368" t="s">
        <v>1604</v>
      </c>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8"/>
      <c r="AS43" s="359"/>
      <c r="AT43" s="359"/>
      <c r="AU43" s="359"/>
      <c r="AV43" s="359"/>
      <c r="AW43" s="359"/>
      <c r="AX43" s="359"/>
      <c r="AY43" s="350">
        <v>1</v>
      </c>
      <c r="AZ43" s="359"/>
      <c r="BA43" s="359" t="s">
        <v>2438</v>
      </c>
      <c r="BB43" s="350" t="s">
        <v>2438</v>
      </c>
    </row>
    <row r="44" spans="1:54" x14ac:dyDescent="0.15">
      <c r="A44" s="352" t="s">
        <v>58</v>
      </c>
      <c r="B44" s="352" t="s">
        <v>713</v>
      </c>
      <c r="C44" s="352" t="s">
        <v>1168</v>
      </c>
      <c r="D44" s="352" t="s">
        <v>1170</v>
      </c>
      <c r="E44" s="352" t="s">
        <v>1357</v>
      </c>
      <c r="F44" s="353">
        <v>39908</v>
      </c>
      <c r="G44" s="354">
        <v>70000</v>
      </c>
      <c r="H44" s="348">
        <v>17</v>
      </c>
      <c r="I44" s="348">
        <v>4</v>
      </c>
      <c r="J44" s="348">
        <v>2</v>
      </c>
      <c r="K44" s="348">
        <v>3</v>
      </c>
      <c r="L44" s="354">
        <f>181920+500</f>
        <v>182420</v>
      </c>
      <c r="M44" s="355">
        <f t="shared" si="0"/>
        <v>10730.588235294117</v>
      </c>
      <c r="N44" s="438">
        <f t="shared" si="1"/>
        <v>0.23529411764705882</v>
      </c>
      <c r="O44" s="356">
        <f t="shared" si="2"/>
        <v>0.52941176470588236</v>
      </c>
      <c r="P44" s="349"/>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57"/>
      <c r="AP44" s="357"/>
      <c r="AQ44" s="357"/>
      <c r="AR44" s="359"/>
      <c r="AS44" s="359"/>
      <c r="AT44" s="359"/>
      <c r="AU44" s="359"/>
      <c r="AV44" s="359"/>
      <c r="AW44" s="359"/>
      <c r="AX44" s="359"/>
      <c r="AY44" s="350">
        <v>1</v>
      </c>
      <c r="AZ44" s="359"/>
      <c r="BA44" s="359"/>
      <c r="BB44" s="359"/>
    </row>
    <row r="45" spans="1:54" x14ac:dyDescent="0.15">
      <c r="A45" s="352" t="s">
        <v>57</v>
      </c>
      <c r="B45" s="352" t="s">
        <v>713</v>
      </c>
      <c r="C45" s="352" t="s">
        <v>421</v>
      </c>
      <c r="D45" s="352" t="s">
        <v>725</v>
      </c>
      <c r="E45" s="352" t="s">
        <v>233</v>
      </c>
      <c r="F45" s="353">
        <v>39859</v>
      </c>
      <c r="G45" s="354">
        <v>10000</v>
      </c>
      <c r="H45" s="348">
        <v>35</v>
      </c>
      <c r="I45" s="348">
        <v>9</v>
      </c>
      <c r="J45" s="348">
        <v>3</v>
      </c>
      <c r="K45" s="348">
        <v>5</v>
      </c>
      <c r="L45" s="355">
        <f>173740+1980</f>
        <v>175720</v>
      </c>
      <c r="M45" s="355">
        <f>L45/H45</f>
        <v>5020.5714285714284</v>
      </c>
      <c r="N45" s="438">
        <f>I45/H45</f>
        <v>0.25714285714285712</v>
      </c>
      <c r="O45" s="356">
        <f>SUM(I45:K45)/H45</f>
        <v>0.48571428571428571</v>
      </c>
      <c r="P45" s="349"/>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c r="AO45" s="357"/>
      <c r="AP45" s="357"/>
      <c r="AQ45" s="357"/>
      <c r="AR45" s="357"/>
      <c r="AS45" s="359"/>
      <c r="AT45" s="359"/>
      <c r="AU45" s="359"/>
      <c r="AV45" s="359"/>
      <c r="AW45" s="359"/>
      <c r="AX45" s="359"/>
      <c r="AY45" s="350"/>
      <c r="AZ45" s="359"/>
      <c r="BA45" s="359"/>
      <c r="BB45" s="350"/>
    </row>
    <row r="46" spans="1:54" x14ac:dyDescent="0.15">
      <c r="A46" s="362" t="s">
        <v>1315</v>
      </c>
      <c r="B46" s="362" t="s">
        <v>1935</v>
      </c>
      <c r="C46" s="362" t="s">
        <v>987</v>
      </c>
      <c r="D46" s="362" t="s">
        <v>634</v>
      </c>
      <c r="E46" s="362" t="s">
        <v>248</v>
      </c>
      <c r="F46" s="369">
        <v>39517</v>
      </c>
      <c r="G46" s="364">
        <v>18000</v>
      </c>
      <c r="H46" s="365">
        <v>25</v>
      </c>
      <c r="I46" s="365">
        <v>4</v>
      </c>
      <c r="J46" s="365">
        <v>2</v>
      </c>
      <c r="K46" s="365">
        <v>3</v>
      </c>
      <c r="L46" s="364">
        <v>172091</v>
      </c>
      <c r="M46" s="366">
        <f t="shared" si="0"/>
        <v>6883.64</v>
      </c>
      <c r="N46" s="437">
        <f t="shared" si="1"/>
        <v>0.16</v>
      </c>
      <c r="O46" s="367">
        <f t="shared" si="2"/>
        <v>0.36</v>
      </c>
      <c r="P46" s="368" t="s">
        <v>1976</v>
      </c>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c r="AO46" s="357"/>
      <c r="AP46" s="357"/>
      <c r="AQ46" s="357"/>
      <c r="AR46" s="359"/>
      <c r="AS46" s="359"/>
      <c r="AT46" s="359"/>
      <c r="AU46" s="359"/>
      <c r="AV46" s="359"/>
      <c r="AW46" s="359"/>
      <c r="AX46" s="359"/>
      <c r="AY46" s="350">
        <v>1</v>
      </c>
      <c r="AZ46" s="359"/>
      <c r="BA46" s="359"/>
      <c r="BB46" s="359"/>
    </row>
    <row r="47" spans="1:54" x14ac:dyDescent="0.15">
      <c r="A47" s="362" t="s">
        <v>505</v>
      </c>
      <c r="B47" s="362" t="s">
        <v>113</v>
      </c>
      <c r="C47" s="362" t="s">
        <v>609</v>
      </c>
      <c r="D47" s="362" t="s">
        <v>610</v>
      </c>
      <c r="E47" s="362" t="s">
        <v>2445</v>
      </c>
      <c r="F47" s="363">
        <v>38823</v>
      </c>
      <c r="G47" s="364"/>
      <c r="H47" s="365">
        <v>18</v>
      </c>
      <c r="I47" s="365">
        <v>7</v>
      </c>
      <c r="J47" s="365">
        <v>2</v>
      </c>
      <c r="K47" s="365">
        <v>4</v>
      </c>
      <c r="L47" s="366">
        <v>170240</v>
      </c>
      <c r="M47" s="366">
        <f t="shared" si="0"/>
        <v>9457.7777777777774</v>
      </c>
      <c r="N47" s="437">
        <f t="shared" si="1"/>
        <v>0.3888888888888889</v>
      </c>
      <c r="O47" s="367">
        <f t="shared" si="2"/>
        <v>0.72222222222222221</v>
      </c>
      <c r="P47" s="368" t="s">
        <v>1689</v>
      </c>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c r="AO47" s="357"/>
      <c r="AP47" s="357"/>
      <c r="AQ47" s="357"/>
      <c r="AR47" s="358"/>
      <c r="AS47" s="359"/>
      <c r="AT47" s="359"/>
      <c r="AU47" s="359"/>
      <c r="AV47" s="359"/>
      <c r="AW47" s="359"/>
      <c r="AX47" s="359"/>
      <c r="AY47" s="350">
        <v>1</v>
      </c>
      <c r="AZ47" s="359"/>
      <c r="BA47" s="359" t="s">
        <v>2438</v>
      </c>
      <c r="BB47" s="350" t="s">
        <v>2438</v>
      </c>
    </row>
    <row r="48" spans="1:54" x14ac:dyDescent="0.15">
      <c r="A48" s="362" t="s">
        <v>831</v>
      </c>
      <c r="B48" s="362" t="s">
        <v>713</v>
      </c>
      <c r="C48" s="362" t="s">
        <v>529</v>
      </c>
      <c r="D48" s="362" t="s">
        <v>460</v>
      </c>
      <c r="E48" s="362" t="s">
        <v>258</v>
      </c>
      <c r="F48" s="369">
        <v>38807</v>
      </c>
      <c r="G48" s="364"/>
      <c r="H48" s="365">
        <v>100</v>
      </c>
      <c r="I48" s="365">
        <v>15</v>
      </c>
      <c r="J48" s="365">
        <v>10</v>
      </c>
      <c r="K48" s="365">
        <v>15</v>
      </c>
      <c r="L48" s="364">
        <f>168985+250+250+480+250</f>
        <v>170215</v>
      </c>
      <c r="M48" s="364">
        <f t="shared" si="0"/>
        <v>1702.15</v>
      </c>
      <c r="N48" s="437">
        <f t="shared" si="1"/>
        <v>0.15</v>
      </c>
      <c r="O48" s="367">
        <f t="shared" si="2"/>
        <v>0.4</v>
      </c>
      <c r="P48" s="368" t="s">
        <v>3172</v>
      </c>
      <c r="Q48" s="357"/>
      <c r="R48" s="357"/>
      <c r="S48" s="357"/>
      <c r="T48" s="357"/>
      <c r="U48" s="357"/>
      <c r="V48" s="357"/>
      <c r="W48" s="357"/>
      <c r="X48" s="357"/>
      <c r="Y48" s="357"/>
      <c r="Z48" s="357"/>
      <c r="AA48" s="357"/>
      <c r="AB48" s="357"/>
      <c r="AC48" s="357"/>
      <c r="AD48" s="357"/>
      <c r="AE48" s="357"/>
      <c r="AF48" s="357"/>
      <c r="AG48" s="357"/>
      <c r="AH48" s="357"/>
      <c r="AI48" s="357"/>
      <c r="AJ48" s="357"/>
      <c r="AK48" s="357"/>
      <c r="AL48" s="357"/>
      <c r="AM48" s="357"/>
      <c r="AN48" s="357"/>
      <c r="AO48" s="357"/>
      <c r="AP48" s="357"/>
      <c r="AQ48" s="357"/>
      <c r="AR48" s="359"/>
      <c r="AS48" s="359"/>
      <c r="AT48" s="359"/>
      <c r="AU48" s="359"/>
      <c r="AV48" s="359"/>
      <c r="AW48" s="359"/>
      <c r="AX48" s="359"/>
      <c r="AY48" s="350">
        <v>1</v>
      </c>
      <c r="AZ48" s="359"/>
      <c r="BA48" s="359" t="s">
        <v>2438</v>
      </c>
      <c r="BB48" s="359" t="s">
        <v>2438</v>
      </c>
    </row>
    <row r="49" spans="1:54" x14ac:dyDescent="0.15">
      <c r="A49" s="352" t="s">
        <v>21</v>
      </c>
      <c r="B49" s="352" t="s">
        <v>1815</v>
      </c>
      <c r="C49" s="352" t="s">
        <v>1469</v>
      </c>
      <c r="D49" s="352" t="s">
        <v>888</v>
      </c>
      <c r="E49" s="352" t="s">
        <v>1477</v>
      </c>
      <c r="F49" s="353">
        <v>40295</v>
      </c>
      <c r="G49" s="354">
        <v>20500</v>
      </c>
      <c r="H49" s="348">
        <v>35</v>
      </c>
      <c r="I49" s="348">
        <v>5</v>
      </c>
      <c r="J49" s="348">
        <v>9</v>
      </c>
      <c r="K49" s="348">
        <v>8</v>
      </c>
      <c r="L49" s="355">
        <f>139895+0+1440+2640+14700+4800</f>
        <v>163475</v>
      </c>
      <c r="M49" s="355">
        <f>L49/H49</f>
        <v>4670.7142857142853</v>
      </c>
      <c r="N49" s="438">
        <f>I49/H49</f>
        <v>0.14285714285714285</v>
      </c>
      <c r="O49" s="356">
        <f>SUM(I49:K49)/H49</f>
        <v>0.62857142857142856</v>
      </c>
      <c r="P49" s="349"/>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8"/>
      <c r="AS49" s="359"/>
      <c r="AT49" s="359"/>
      <c r="AU49" s="359"/>
      <c r="AV49" s="359"/>
      <c r="AW49" s="359"/>
      <c r="AX49" s="359"/>
      <c r="AY49" s="350"/>
      <c r="AZ49" s="359"/>
      <c r="BA49" s="359"/>
      <c r="BB49" s="350"/>
    </row>
    <row r="50" spans="1:54" x14ac:dyDescent="0.15">
      <c r="A50" s="362" t="s">
        <v>367</v>
      </c>
      <c r="B50" s="362" t="s">
        <v>713</v>
      </c>
      <c r="C50" s="362" t="s">
        <v>985</v>
      </c>
      <c r="D50" s="362" t="s">
        <v>824</v>
      </c>
      <c r="E50" s="362" t="s">
        <v>2447</v>
      </c>
      <c r="F50" s="363">
        <v>39149</v>
      </c>
      <c r="G50" s="364">
        <v>170000</v>
      </c>
      <c r="H50" s="365">
        <v>36</v>
      </c>
      <c r="I50" s="365">
        <v>2</v>
      </c>
      <c r="J50" s="365">
        <v>8</v>
      </c>
      <c r="K50" s="365">
        <v>2</v>
      </c>
      <c r="L50" s="366">
        <v>157910</v>
      </c>
      <c r="M50" s="366">
        <f>L50/H50</f>
        <v>4386.3888888888887</v>
      </c>
      <c r="N50" s="437">
        <f>I50/H50</f>
        <v>5.5555555555555552E-2</v>
      </c>
      <c r="O50" s="367">
        <f>SUM(I50:K50)/H50</f>
        <v>0.33333333333333331</v>
      </c>
      <c r="P50" s="368" t="s">
        <v>4128</v>
      </c>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8"/>
      <c r="AS50" s="359"/>
      <c r="AT50" s="359"/>
      <c r="AU50" s="359"/>
      <c r="AV50" s="359"/>
      <c r="AW50" s="359"/>
      <c r="AX50" s="359"/>
      <c r="AY50" s="350">
        <v>1</v>
      </c>
      <c r="AZ50" s="359"/>
      <c r="BA50" s="359"/>
      <c r="BB50" s="350"/>
    </row>
    <row r="51" spans="1:54" x14ac:dyDescent="0.15">
      <c r="A51" s="362" t="s">
        <v>516</v>
      </c>
      <c r="B51" s="362" t="s">
        <v>1511</v>
      </c>
      <c r="C51" s="362" t="s">
        <v>1009</v>
      </c>
      <c r="D51" s="362" t="s">
        <v>873</v>
      </c>
      <c r="E51" s="362" t="s">
        <v>2446</v>
      </c>
      <c r="F51" s="363">
        <v>38833</v>
      </c>
      <c r="G51" s="364"/>
      <c r="H51" s="365">
        <v>22</v>
      </c>
      <c r="I51" s="365">
        <v>3</v>
      </c>
      <c r="J51" s="365">
        <v>5</v>
      </c>
      <c r="K51" s="365">
        <v>3</v>
      </c>
      <c r="L51" s="366">
        <v>153079</v>
      </c>
      <c r="M51" s="366">
        <f t="shared" si="0"/>
        <v>6958.136363636364</v>
      </c>
      <c r="N51" s="437">
        <f t="shared" si="1"/>
        <v>0.13636363636363635</v>
      </c>
      <c r="O51" s="367">
        <f t="shared" si="2"/>
        <v>0.5</v>
      </c>
      <c r="P51" s="368" t="s">
        <v>1689</v>
      </c>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c r="AO51" s="357"/>
      <c r="AP51" s="357"/>
      <c r="AQ51" s="357"/>
      <c r="AR51" s="358"/>
      <c r="AS51" s="359"/>
      <c r="AT51" s="359"/>
      <c r="AU51" s="359"/>
      <c r="AV51" s="359"/>
      <c r="AW51" s="359"/>
      <c r="AX51" s="359"/>
      <c r="AY51" s="350">
        <v>1</v>
      </c>
      <c r="AZ51" s="359"/>
      <c r="BA51" s="359" t="s">
        <v>2438</v>
      </c>
      <c r="BB51" s="350" t="s">
        <v>2438</v>
      </c>
    </row>
    <row r="52" spans="1:54" x14ac:dyDescent="0.15">
      <c r="A52" s="362" t="s">
        <v>369</v>
      </c>
      <c r="B52" s="362" t="s">
        <v>713</v>
      </c>
      <c r="C52" s="362" t="s">
        <v>572</v>
      </c>
      <c r="D52" s="362" t="s">
        <v>725</v>
      </c>
      <c r="E52" s="362" t="s">
        <v>291</v>
      </c>
      <c r="F52" s="363">
        <v>39186</v>
      </c>
      <c r="G52" s="364"/>
      <c r="H52" s="365">
        <v>34</v>
      </c>
      <c r="I52" s="365">
        <v>7</v>
      </c>
      <c r="J52" s="365">
        <v>3</v>
      </c>
      <c r="K52" s="365">
        <v>4</v>
      </c>
      <c r="L52" s="364">
        <v>152815</v>
      </c>
      <c r="M52" s="366">
        <f t="shared" si="0"/>
        <v>4494.5588235294117</v>
      </c>
      <c r="N52" s="437">
        <f t="shared" si="1"/>
        <v>0.20588235294117646</v>
      </c>
      <c r="O52" s="367">
        <f t="shared" si="2"/>
        <v>0.41176470588235292</v>
      </c>
      <c r="P52" s="368" t="s">
        <v>2519</v>
      </c>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c r="AO52" s="357"/>
      <c r="AP52" s="357"/>
      <c r="AQ52" s="357"/>
      <c r="AR52" s="359"/>
      <c r="AS52" s="359"/>
      <c r="AT52" s="359"/>
      <c r="AU52" s="359"/>
      <c r="AV52" s="359"/>
      <c r="AW52" s="359"/>
      <c r="AX52" s="359"/>
      <c r="AY52" s="350">
        <v>1</v>
      </c>
      <c r="AZ52" s="359"/>
      <c r="BA52" s="359"/>
      <c r="BB52" s="359"/>
    </row>
    <row r="53" spans="1:54" x14ac:dyDescent="0.15">
      <c r="A53" s="362" t="s">
        <v>1244</v>
      </c>
      <c r="B53" s="362" t="s">
        <v>95</v>
      </c>
      <c r="C53" s="362" t="s">
        <v>645</v>
      </c>
      <c r="D53" s="362" t="s">
        <v>951</v>
      </c>
      <c r="E53" s="362" t="s">
        <v>646</v>
      </c>
      <c r="F53" s="369">
        <v>39494</v>
      </c>
      <c r="G53" s="364"/>
      <c r="H53" s="365">
        <v>17</v>
      </c>
      <c r="I53" s="365">
        <v>3</v>
      </c>
      <c r="J53" s="365">
        <v>2</v>
      </c>
      <c r="K53" s="365">
        <v>2</v>
      </c>
      <c r="L53" s="364">
        <v>151717</v>
      </c>
      <c r="M53" s="366">
        <f t="shared" si="0"/>
        <v>8924.5294117647063</v>
      </c>
      <c r="N53" s="437">
        <f t="shared" si="1"/>
        <v>0.17647058823529413</v>
      </c>
      <c r="O53" s="367">
        <f t="shared" si="2"/>
        <v>0.41176470588235292</v>
      </c>
      <c r="P53" s="368" t="s">
        <v>1689</v>
      </c>
      <c r="Q53" s="357"/>
      <c r="R53" s="357"/>
      <c r="S53" s="357"/>
      <c r="T53" s="357"/>
      <c r="U53" s="357"/>
      <c r="V53" s="357"/>
      <c r="W53" s="357"/>
      <c r="X53" s="357"/>
      <c r="Y53" s="357"/>
      <c r="Z53" s="357"/>
      <c r="AA53" s="357"/>
      <c r="AB53" s="357"/>
      <c r="AC53" s="357"/>
      <c r="AD53" s="357"/>
      <c r="AE53" s="357"/>
      <c r="AF53" s="357"/>
      <c r="AG53" s="357"/>
      <c r="AH53" s="357"/>
      <c r="AI53" s="357"/>
      <c r="AJ53" s="357"/>
      <c r="AK53" s="357"/>
      <c r="AL53" s="357"/>
      <c r="AM53" s="357"/>
      <c r="AN53" s="357"/>
      <c r="AO53" s="357"/>
      <c r="AP53" s="357"/>
      <c r="AQ53" s="357"/>
      <c r="AR53" s="357"/>
      <c r="AS53" s="359"/>
      <c r="AT53" s="359"/>
      <c r="AU53" s="359"/>
      <c r="AV53" s="359"/>
      <c r="AW53" s="359"/>
      <c r="AX53" s="359"/>
      <c r="AY53" s="350">
        <v>1</v>
      </c>
      <c r="AZ53" s="359"/>
      <c r="BA53" s="359"/>
      <c r="BB53" s="359"/>
    </row>
    <row r="54" spans="1:54" x14ac:dyDescent="0.15">
      <c r="A54" s="352" t="s">
        <v>2170</v>
      </c>
      <c r="B54" s="352" t="s">
        <v>2414</v>
      </c>
      <c r="C54" s="352" t="s">
        <v>2496</v>
      </c>
      <c r="D54" s="352" t="s">
        <v>898</v>
      </c>
      <c r="E54" s="352" t="s">
        <v>1774</v>
      </c>
      <c r="F54" s="353">
        <v>41004</v>
      </c>
      <c r="G54" s="354"/>
      <c r="H54" s="348">
        <v>25</v>
      </c>
      <c r="I54" s="348">
        <v>6</v>
      </c>
      <c r="J54" s="348">
        <v>2</v>
      </c>
      <c r="K54" s="348">
        <v>4</v>
      </c>
      <c r="L54" s="354">
        <f>151061+450</f>
        <v>151511</v>
      </c>
      <c r="M54" s="355">
        <f>L54/H54</f>
        <v>6060.44</v>
      </c>
      <c r="N54" s="438">
        <f>I54/H54</f>
        <v>0.24</v>
      </c>
      <c r="O54" s="356">
        <f>SUM(I54:K54)/H54</f>
        <v>0.48</v>
      </c>
      <c r="P54" s="349"/>
      <c r="Q54" s="357"/>
      <c r="R54" s="357"/>
      <c r="S54" s="357"/>
      <c r="T54" s="357"/>
      <c r="U54" s="357"/>
      <c r="V54" s="357"/>
      <c r="W54" s="357"/>
      <c r="X54" s="357"/>
      <c r="Y54" s="357"/>
      <c r="Z54" s="357"/>
      <c r="AA54" s="357"/>
      <c r="AB54" s="357"/>
      <c r="AC54" s="357"/>
      <c r="AD54" s="357"/>
      <c r="AE54" s="357"/>
      <c r="AF54" s="357"/>
      <c r="AG54" s="357"/>
      <c r="AH54" s="357"/>
      <c r="AI54" s="357"/>
      <c r="AJ54" s="357"/>
      <c r="AK54" s="357"/>
      <c r="AL54" s="357"/>
      <c r="AM54" s="357"/>
      <c r="AN54" s="357"/>
      <c r="AO54" s="357"/>
      <c r="AP54" s="357"/>
      <c r="AQ54" s="357"/>
      <c r="AR54" s="358"/>
      <c r="AS54" s="359"/>
      <c r="AT54" s="359"/>
      <c r="AU54" s="359"/>
      <c r="AV54" s="359"/>
      <c r="AW54" s="359"/>
      <c r="AX54" s="359"/>
      <c r="AY54" s="350"/>
      <c r="AZ54" s="359"/>
      <c r="BA54" s="359"/>
      <c r="BB54" s="359"/>
    </row>
    <row r="55" spans="1:54" x14ac:dyDescent="0.15">
      <c r="A55" s="352" t="s">
        <v>2355</v>
      </c>
      <c r="B55" s="352" t="s">
        <v>1078</v>
      </c>
      <c r="C55" s="352" t="s">
        <v>1875</v>
      </c>
      <c r="D55" s="352" t="s">
        <v>807</v>
      </c>
      <c r="E55" s="352" t="s">
        <v>1876</v>
      </c>
      <c r="F55" s="353">
        <v>41039</v>
      </c>
      <c r="G55" s="354">
        <v>40000</v>
      </c>
      <c r="H55" s="348">
        <v>27</v>
      </c>
      <c r="I55" s="348">
        <v>6</v>
      </c>
      <c r="J55" s="348">
        <v>9</v>
      </c>
      <c r="K55" s="348">
        <v>2</v>
      </c>
      <c r="L55" s="354">
        <f>140050+912+1850+8000</f>
        <v>150812</v>
      </c>
      <c r="M55" s="354">
        <f>L55/H55</f>
        <v>5585.6296296296296</v>
      </c>
      <c r="N55" s="438">
        <f>I55/H55</f>
        <v>0.22222222222222221</v>
      </c>
      <c r="O55" s="356">
        <f>SUM(I55:K55)/H55</f>
        <v>0.62962962962962965</v>
      </c>
      <c r="P55" s="349"/>
      <c r="Q55" s="357"/>
      <c r="R55" s="357"/>
      <c r="S55" s="357"/>
      <c r="T55" s="357"/>
      <c r="U55" s="357"/>
      <c r="V55" s="357"/>
      <c r="W55" s="357"/>
      <c r="X55" s="357"/>
      <c r="Y55" s="357"/>
      <c r="Z55" s="357"/>
      <c r="AA55" s="357"/>
      <c r="AB55" s="357"/>
      <c r="AC55" s="357"/>
      <c r="AD55" s="357"/>
      <c r="AE55" s="357"/>
      <c r="AF55" s="357"/>
      <c r="AG55" s="357"/>
      <c r="AH55" s="357"/>
      <c r="AI55" s="357"/>
      <c r="AJ55" s="357"/>
      <c r="AK55" s="357"/>
      <c r="AL55" s="357"/>
      <c r="AM55" s="357"/>
      <c r="AN55" s="357"/>
      <c r="AO55" s="357"/>
      <c r="AP55" s="357"/>
      <c r="AQ55" s="357"/>
      <c r="AR55" s="359"/>
      <c r="AS55" s="359"/>
      <c r="AT55" s="359"/>
      <c r="AU55" s="359"/>
      <c r="AV55" s="359"/>
      <c r="AW55" s="359"/>
      <c r="AX55" s="359"/>
      <c r="AY55" s="350"/>
      <c r="AZ55" s="359"/>
      <c r="BA55" s="359"/>
      <c r="BB55" s="359"/>
    </row>
    <row r="56" spans="1:54" x14ac:dyDescent="0.15">
      <c r="A56" s="352" t="s">
        <v>1294</v>
      </c>
      <c r="B56" s="352" t="s">
        <v>713</v>
      </c>
      <c r="C56" s="352" t="s">
        <v>1160</v>
      </c>
      <c r="D56" s="352" t="s">
        <v>1043</v>
      </c>
      <c r="E56" s="352" t="s">
        <v>1370</v>
      </c>
      <c r="F56" s="353">
        <v>39933</v>
      </c>
      <c r="G56" s="354">
        <v>12000</v>
      </c>
      <c r="H56" s="348">
        <v>27</v>
      </c>
      <c r="I56" s="348">
        <v>4</v>
      </c>
      <c r="J56" s="348">
        <v>4</v>
      </c>
      <c r="K56" s="348">
        <v>3</v>
      </c>
      <c r="L56" s="354">
        <f>116749+21000+700+6000+0</f>
        <v>144449</v>
      </c>
      <c r="M56" s="354">
        <f>L56/H56</f>
        <v>5349.9629629629626</v>
      </c>
      <c r="N56" s="438">
        <f>I56/H56</f>
        <v>0.14814814814814814</v>
      </c>
      <c r="O56" s="356">
        <f>SUM(I56:K56)/H56</f>
        <v>0.40740740740740738</v>
      </c>
      <c r="P56" s="349"/>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57"/>
      <c r="AP56" s="357"/>
      <c r="AQ56" s="357"/>
      <c r="AR56" s="358"/>
      <c r="AS56" s="359"/>
      <c r="AT56" s="359"/>
      <c r="AU56" s="359"/>
      <c r="AV56" s="359"/>
      <c r="AW56" s="359"/>
      <c r="AX56" s="359"/>
      <c r="AY56" s="350"/>
      <c r="AZ56" s="359"/>
      <c r="BA56" s="359"/>
      <c r="BB56" s="359"/>
    </row>
    <row r="57" spans="1:54" x14ac:dyDescent="0.15">
      <c r="A57" s="362" t="s">
        <v>518</v>
      </c>
      <c r="B57" s="362" t="s">
        <v>112</v>
      </c>
      <c r="C57" s="362" t="s">
        <v>943</v>
      </c>
      <c r="D57" s="362" t="s">
        <v>824</v>
      </c>
      <c r="E57" s="362" t="s">
        <v>1326</v>
      </c>
      <c r="F57" s="369">
        <v>38839</v>
      </c>
      <c r="G57" s="364"/>
      <c r="H57" s="365">
        <v>23</v>
      </c>
      <c r="I57" s="365">
        <v>9</v>
      </c>
      <c r="J57" s="365">
        <v>1</v>
      </c>
      <c r="K57" s="365">
        <v>3</v>
      </c>
      <c r="L57" s="364">
        <v>143260</v>
      </c>
      <c r="M57" s="366">
        <f t="shared" si="0"/>
        <v>6228.695652173913</v>
      </c>
      <c r="N57" s="437">
        <f t="shared" si="1"/>
        <v>0.39130434782608697</v>
      </c>
      <c r="O57" s="367">
        <f t="shared" si="2"/>
        <v>0.56521739130434778</v>
      </c>
      <c r="P57" s="368" t="s">
        <v>1604</v>
      </c>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9"/>
      <c r="AT57" s="359"/>
      <c r="AU57" s="359"/>
      <c r="AV57" s="359"/>
      <c r="AW57" s="359"/>
      <c r="AX57" s="359"/>
      <c r="AY57" s="350">
        <v>1</v>
      </c>
      <c r="AZ57" s="359"/>
      <c r="BA57" s="359" t="s">
        <v>2438</v>
      </c>
      <c r="BB57" s="359" t="s">
        <v>2438</v>
      </c>
    </row>
    <row r="58" spans="1:54" x14ac:dyDescent="0.15">
      <c r="A58" s="362" t="s">
        <v>1819</v>
      </c>
      <c r="B58" s="362" t="s">
        <v>1513</v>
      </c>
      <c r="C58" s="362" t="s">
        <v>949</v>
      </c>
      <c r="D58" s="362" t="s">
        <v>459</v>
      </c>
      <c r="E58" s="362" t="s">
        <v>1335</v>
      </c>
      <c r="F58" s="363">
        <v>40267</v>
      </c>
      <c r="G58" s="364">
        <v>25000</v>
      </c>
      <c r="H58" s="365">
        <v>15</v>
      </c>
      <c r="I58" s="365">
        <v>3</v>
      </c>
      <c r="J58" s="365">
        <v>1</v>
      </c>
      <c r="K58" s="365">
        <v>1</v>
      </c>
      <c r="L58" s="366">
        <f>143093+0</f>
        <v>143093</v>
      </c>
      <c r="M58" s="366">
        <f t="shared" si="0"/>
        <v>9539.5333333333328</v>
      </c>
      <c r="N58" s="437">
        <f t="shared" si="1"/>
        <v>0.2</v>
      </c>
      <c r="O58" s="367">
        <f t="shared" si="2"/>
        <v>0.33333333333333331</v>
      </c>
      <c r="P58" s="368" t="s">
        <v>3172</v>
      </c>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8"/>
      <c r="AS58" s="359"/>
      <c r="AT58" s="359"/>
      <c r="AU58" s="359"/>
      <c r="AV58" s="359"/>
      <c r="AW58" s="359"/>
      <c r="AX58" s="359"/>
      <c r="AY58" s="350">
        <v>1</v>
      </c>
      <c r="AZ58" s="359"/>
      <c r="BA58" s="359"/>
      <c r="BB58" s="350"/>
    </row>
    <row r="59" spans="1:54" x14ac:dyDescent="0.15">
      <c r="A59" s="352" t="s">
        <v>1557</v>
      </c>
      <c r="B59" s="352" t="s">
        <v>111</v>
      </c>
      <c r="C59" s="352" t="s">
        <v>1053</v>
      </c>
      <c r="D59" s="352" t="s">
        <v>1054</v>
      </c>
      <c r="E59" s="352" t="s">
        <v>1349</v>
      </c>
      <c r="F59" s="353">
        <v>39887</v>
      </c>
      <c r="G59" s="354">
        <v>4000</v>
      </c>
      <c r="H59" s="348">
        <v>52</v>
      </c>
      <c r="I59" s="348">
        <v>9</v>
      </c>
      <c r="J59" s="348">
        <v>8</v>
      </c>
      <c r="K59" s="348">
        <v>8</v>
      </c>
      <c r="L59" s="355">
        <v>141402</v>
      </c>
      <c r="M59" s="355">
        <f>L59/H59</f>
        <v>2719.2692307692309</v>
      </c>
      <c r="N59" s="438">
        <f>I59/H59</f>
        <v>0.17307692307692307</v>
      </c>
      <c r="O59" s="356">
        <f>SUM(I59:K59)/H59</f>
        <v>0.48076923076923078</v>
      </c>
      <c r="P59" s="349"/>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59"/>
      <c r="AT59" s="359"/>
      <c r="AU59" s="359"/>
      <c r="AV59" s="359"/>
      <c r="AW59" s="359"/>
      <c r="AX59" s="359"/>
      <c r="AY59" s="350"/>
      <c r="AZ59" s="359"/>
      <c r="BA59" s="359"/>
      <c r="BB59" s="350"/>
    </row>
    <row r="60" spans="1:54" x14ac:dyDescent="0.15">
      <c r="A60" s="362" t="s">
        <v>1132</v>
      </c>
      <c r="B60" s="362" t="s">
        <v>114</v>
      </c>
      <c r="C60" s="362" t="s">
        <v>455</v>
      </c>
      <c r="D60" s="362" t="s">
        <v>835</v>
      </c>
      <c r="E60" s="362" t="s">
        <v>100</v>
      </c>
      <c r="F60" s="363">
        <v>38781</v>
      </c>
      <c r="G60" s="364">
        <v>110000</v>
      </c>
      <c r="H60" s="365">
        <v>23</v>
      </c>
      <c r="I60" s="365">
        <v>5</v>
      </c>
      <c r="J60" s="365">
        <v>1</v>
      </c>
      <c r="K60" s="365">
        <v>3</v>
      </c>
      <c r="L60" s="366">
        <v>141350</v>
      </c>
      <c r="M60" s="366">
        <f t="shared" si="0"/>
        <v>6145.652173913043</v>
      </c>
      <c r="N60" s="437">
        <f t="shared" si="1"/>
        <v>0.21739130434782608</v>
      </c>
      <c r="O60" s="367">
        <f t="shared" si="2"/>
        <v>0.39130434782608697</v>
      </c>
      <c r="P60" s="368" t="s">
        <v>1604</v>
      </c>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8"/>
      <c r="AS60" s="359"/>
      <c r="AT60" s="359"/>
      <c r="AU60" s="359"/>
      <c r="AV60" s="359"/>
      <c r="AW60" s="359"/>
      <c r="AX60" s="359"/>
      <c r="AY60" s="350">
        <v>1</v>
      </c>
      <c r="AZ60" s="359"/>
      <c r="BA60" s="359" t="s">
        <v>2439</v>
      </c>
      <c r="BB60" s="350">
        <v>31350</v>
      </c>
    </row>
    <row r="61" spans="1:54" x14ac:dyDescent="0.15">
      <c r="A61" s="362" t="s">
        <v>913</v>
      </c>
      <c r="B61" s="362" t="s">
        <v>1511</v>
      </c>
      <c r="C61" s="362" t="s">
        <v>660</v>
      </c>
      <c r="D61" s="362" t="s">
        <v>610</v>
      </c>
      <c r="E61" s="362" t="s">
        <v>248</v>
      </c>
      <c r="F61" s="363">
        <v>39149</v>
      </c>
      <c r="G61" s="364"/>
      <c r="H61" s="365">
        <v>14</v>
      </c>
      <c r="I61" s="365">
        <v>5</v>
      </c>
      <c r="J61" s="365">
        <v>4</v>
      </c>
      <c r="K61" s="365">
        <v>1</v>
      </c>
      <c r="L61" s="364">
        <v>140295</v>
      </c>
      <c r="M61" s="366">
        <f t="shared" si="0"/>
        <v>10021.071428571429</v>
      </c>
      <c r="N61" s="437">
        <f t="shared" si="1"/>
        <v>0.35714285714285715</v>
      </c>
      <c r="O61" s="367">
        <f t="shared" si="2"/>
        <v>0.7142857142857143</v>
      </c>
      <c r="P61" s="368" t="s">
        <v>1708</v>
      </c>
      <c r="Q61" s="357"/>
      <c r="R61" s="357"/>
      <c r="S61" s="357"/>
      <c r="T61" s="357"/>
      <c r="U61" s="357"/>
      <c r="V61" s="357"/>
      <c r="W61" s="357"/>
      <c r="X61" s="357"/>
      <c r="Y61" s="357"/>
      <c r="Z61" s="357"/>
      <c r="AA61" s="357"/>
      <c r="AB61" s="357"/>
      <c r="AC61" s="357"/>
      <c r="AD61" s="357"/>
      <c r="AE61" s="357"/>
      <c r="AF61" s="357"/>
      <c r="AG61" s="357"/>
      <c r="AH61" s="357"/>
      <c r="AI61" s="357"/>
      <c r="AJ61" s="357"/>
      <c r="AK61" s="357"/>
      <c r="AL61" s="357"/>
      <c r="AM61" s="357"/>
      <c r="AN61" s="357"/>
      <c r="AO61" s="357"/>
      <c r="AP61" s="357"/>
      <c r="AQ61" s="357"/>
      <c r="AR61" s="359"/>
      <c r="AS61" s="359"/>
      <c r="AT61" s="359"/>
      <c r="AU61" s="359"/>
      <c r="AV61" s="359"/>
      <c r="AW61" s="359"/>
      <c r="AX61" s="359"/>
      <c r="AY61" s="350">
        <v>1</v>
      </c>
      <c r="AZ61" s="359"/>
      <c r="BA61" s="359"/>
      <c r="BB61" s="359"/>
    </row>
    <row r="62" spans="1:54" x14ac:dyDescent="0.15">
      <c r="A62" s="362" t="s">
        <v>994</v>
      </c>
      <c r="B62" s="362" t="s">
        <v>111</v>
      </c>
      <c r="C62" s="362" t="s">
        <v>928</v>
      </c>
      <c r="D62" s="362" t="s">
        <v>895</v>
      </c>
      <c r="E62" s="362" t="s">
        <v>3261</v>
      </c>
      <c r="F62" s="363">
        <v>39126</v>
      </c>
      <c r="G62" s="364"/>
      <c r="H62" s="365">
        <v>62</v>
      </c>
      <c r="I62" s="365">
        <v>12</v>
      </c>
      <c r="J62" s="365">
        <v>11</v>
      </c>
      <c r="K62" s="365">
        <v>10</v>
      </c>
      <c r="L62" s="366">
        <f>110535+1440+3968+860+3840+960+1200+360+1400+120+600+1420+6420+6420</f>
        <v>139543</v>
      </c>
      <c r="M62" s="366">
        <f>L62/H62</f>
        <v>2250.6935483870966</v>
      </c>
      <c r="N62" s="437">
        <f>I62/H62</f>
        <v>0.19354838709677419</v>
      </c>
      <c r="O62" s="367">
        <f>SUM(I62:K62)/H62</f>
        <v>0.532258064516129</v>
      </c>
      <c r="P62" s="368" t="s">
        <v>4128</v>
      </c>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8"/>
      <c r="AS62" s="359"/>
      <c r="AT62" s="359"/>
      <c r="AU62" s="359"/>
      <c r="AV62" s="359"/>
      <c r="AW62" s="359"/>
      <c r="AX62" s="359"/>
      <c r="AY62" s="350"/>
      <c r="AZ62" s="359"/>
      <c r="BA62" s="359"/>
      <c r="BB62" s="350"/>
    </row>
    <row r="63" spans="1:54" x14ac:dyDescent="0.15">
      <c r="A63" s="362" t="s">
        <v>893</v>
      </c>
      <c r="B63" s="362" t="s">
        <v>111</v>
      </c>
      <c r="C63" s="362" t="s">
        <v>600</v>
      </c>
      <c r="D63" s="362" t="s">
        <v>601</v>
      </c>
      <c r="E63" s="362" t="s">
        <v>2448</v>
      </c>
      <c r="F63" s="363">
        <v>38787</v>
      </c>
      <c r="G63" s="364">
        <v>325000</v>
      </c>
      <c r="H63" s="365">
        <v>3</v>
      </c>
      <c r="I63" s="365">
        <v>1</v>
      </c>
      <c r="J63" s="365">
        <v>1</v>
      </c>
      <c r="K63" s="365">
        <v>0</v>
      </c>
      <c r="L63" s="366">
        <v>137200</v>
      </c>
      <c r="M63" s="366">
        <f t="shared" si="0"/>
        <v>45733.333333333336</v>
      </c>
      <c r="N63" s="437">
        <f t="shared" si="1"/>
        <v>0.33333333333333331</v>
      </c>
      <c r="O63" s="367">
        <f t="shared" si="2"/>
        <v>0.66666666666666663</v>
      </c>
      <c r="P63" s="368" t="s">
        <v>1601</v>
      </c>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9"/>
      <c r="AS63" s="359"/>
      <c r="AT63" s="359"/>
      <c r="AU63" s="359"/>
      <c r="AV63" s="359"/>
      <c r="AW63" s="359"/>
      <c r="AX63" s="359"/>
      <c r="AY63" s="350">
        <v>1</v>
      </c>
      <c r="AZ63" s="359"/>
      <c r="BA63" s="359" t="s">
        <v>2438</v>
      </c>
      <c r="BB63" s="350" t="s">
        <v>2438</v>
      </c>
    </row>
    <row r="64" spans="1:54" x14ac:dyDescent="0.15">
      <c r="A64" s="362" t="s">
        <v>438</v>
      </c>
      <c r="B64" s="362" t="s">
        <v>969</v>
      </c>
      <c r="C64" s="362" t="s">
        <v>561</v>
      </c>
      <c r="D64" s="362" t="s">
        <v>976</v>
      </c>
      <c r="E64" s="362" t="s">
        <v>285</v>
      </c>
      <c r="F64" s="363">
        <v>38757</v>
      </c>
      <c r="G64" s="364">
        <v>240000</v>
      </c>
      <c r="H64" s="365">
        <v>41</v>
      </c>
      <c r="I64" s="365">
        <v>13</v>
      </c>
      <c r="J64" s="365">
        <v>4</v>
      </c>
      <c r="K64" s="365">
        <v>6</v>
      </c>
      <c r="L64" s="366">
        <v>136283</v>
      </c>
      <c r="M64" s="366">
        <f t="shared" si="0"/>
        <v>3323.9756097560976</v>
      </c>
      <c r="N64" s="437">
        <f t="shared" si="1"/>
        <v>0.31707317073170732</v>
      </c>
      <c r="O64" s="367">
        <f t="shared" si="2"/>
        <v>0.56097560975609762</v>
      </c>
      <c r="P64" s="368" t="s">
        <v>3658</v>
      </c>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9"/>
      <c r="AS64" s="359"/>
      <c r="AT64" s="359"/>
      <c r="AU64" s="359"/>
      <c r="AV64" s="359"/>
      <c r="AW64" s="359"/>
      <c r="AX64" s="359"/>
      <c r="AY64" s="350">
        <v>1</v>
      </c>
      <c r="AZ64" s="359"/>
      <c r="BA64" s="359" t="s">
        <v>2438</v>
      </c>
      <c r="BB64" s="350" t="s">
        <v>2438</v>
      </c>
    </row>
    <row r="65" spans="1:54" x14ac:dyDescent="0.15">
      <c r="A65" s="352" t="s">
        <v>1538</v>
      </c>
      <c r="B65" s="352" t="s">
        <v>1934</v>
      </c>
      <c r="C65" s="352" t="s">
        <v>642</v>
      </c>
      <c r="D65" s="352" t="s">
        <v>638</v>
      </c>
      <c r="E65" s="352" t="s">
        <v>1517</v>
      </c>
      <c r="F65" s="353">
        <v>39516</v>
      </c>
      <c r="G65" s="354"/>
      <c r="H65" s="348">
        <v>61</v>
      </c>
      <c r="I65" s="348">
        <v>5</v>
      </c>
      <c r="J65" s="348">
        <v>10</v>
      </c>
      <c r="K65" s="348">
        <v>6</v>
      </c>
      <c r="L65" s="355">
        <v>135383</v>
      </c>
      <c r="M65" s="355">
        <v>2367.9302325581393</v>
      </c>
      <c r="N65" s="438">
        <v>9.3023255813953487E-2</v>
      </c>
      <c r="O65" s="356">
        <v>0.37209302325581395</v>
      </c>
      <c r="P65" s="349"/>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9"/>
      <c r="AT65" s="359"/>
      <c r="AU65" s="359"/>
      <c r="AV65" s="359"/>
      <c r="AW65" s="359"/>
      <c r="AX65" s="359"/>
      <c r="AY65" s="350"/>
      <c r="AZ65" s="359"/>
      <c r="BA65" s="359"/>
      <c r="BB65" s="350"/>
    </row>
    <row r="66" spans="1:54" x14ac:dyDescent="0.15">
      <c r="A66" s="507" t="s">
        <v>0</v>
      </c>
      <c r="B66" s="352" t="s">
        <v>969</v>
      </c>
      <c r="C66" s="352" t="s">
        <v>1408</v>
      </c>
      <c r="D66" s="352" t="s">
        <v>1027</v>
      </c>
      <c r="E66" s="352" t="s">
        <v>1335</v>
      </c>
      <c r="F66" s="353">
        <v>40252</v>
      </c>
      <c r="G66" s="520"/>
      <c r="H66" s="508">
        <v>31</v>
      </c>
      <c r="I66" s="508">
        <v>6</v>
      </c>
      <c r="J66" s="508">
        <v>5</v>
      </c>
      <c r="K66" s="508">
        <v>3</v>
      </c>
      <c r="L66" s="521">
        <f>130420+375+1800</f>
        <v>132595</v>
      </c>
      <c r="M66" s="355">
        <f>L66/H66</f>
        <v>4277.2580645161288</v>
      </c>
      <c r="N66" s="438">
        <f>I66/H66</f>
        <v>0.19354838709677419</v>
      </c>
      <c r="O66" s="356">
        <f>SUM(I66:K66)/H66</f>
        <v>0.45161290322580644</v>
      </c>
      <c r="P66" s="95"/>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9"/>
      <c r="AS66" s="359"/>
      <c r="AT66" s="359"/>
      <c r="AU66" s="359"/>
      <c r="AV66" s="359"/>
      <c r="AW66" s="359"/>
      <c r="AX66" s="359"/>
      <c r="AY66" s="350"/>
      <c r="AZ66" s="359"/>
      <c r="BA66" s="359"/>
      <c r="BB66" s="359"/>
    </row>
    <row r="67" spans="1:54" x14ac:dyDescent="0.15">
      <c r="A67" s="362" t="s">
        <v>479</v>
      </c>
      <c r="B67" s="362" t="s">
        <v>130</v>
      </c>
      <c r="C67" s="362" t="s">
        <v>862</v>
      </c>
      <c r="D67" s="362" t="s">
        <v>863</v>
      </c>
      <c r="E67" s="362" t="s">
        <v>245</v>
      </c>
      <c r="F67" s="363">
        <v>39213</v>
      </c>
      <c r="G67" s="364"/>
      <c r="H67" s="365">
        <v>54</v>
      </c>
      <c r="I67" s="365">
        <v>5</v>
      </c>
      <c r="J67" s="365">
        <v>9</v>
      </c>
      <c r="K67" s="365">
        <v>5</v>
      </c>
      <c r="L67" s="366">
        <f>125034+5400+270+135</f>
        <v>130839</v>
      </c>
      <c r="M67" s="366">
        <f>L67/H67</f>
        <v>2422.9444444444443</v>
      </c>
      <c r="N67" s="437">
        <f>I67/H67</f>
        <v>9.2592592592592587E-2</v>
      </c>
      <c r="O67" s="367">
        <f>SUM(I67:K67)/H67</f>
        <v>0.35185185185185186</v>
      </c>
      <c r="P67" s="368" t="s">
        <v>4128</v>
      </c>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8"/>
      <c r="AS67" s="359"/>
      <c r="AT67" s="359"/>
      <c r="AU67" s="359"/>
      <c r="AV67" s="359"/>
      <c r="AW67" s="359"/>
      <c r="AX67" s="359"/>
      <c r="AY67" s="350">
        <v>1</v>
      </c>
      <c r="AZ67" s="359"/>
      <c r="BA67" s="359"/>
      <c r="BB67" s="350"/>
    </row>
    <row r="68" spans="1:54" x14ac:dyDescent="0.15">
      <c r="A68" s="362" t="s">
        <v>876</v>
      </c>
      <c r="B68" s="362" t="s">
        <v>113</v>
      </c>
      <c r="C68" s="362" t="s">
        <v>963</v>
      </c>
      <c r="D68" s="362" t="s">
        <v>836</v>
      </c>
      <c r="E68" s="362" t="s">
        <v>424</v>
      </c>
      <c r="F68" s="363">
        <v>38840</v>
      </c>
      <c r="G68" s="364"/>
      <c r="H68" s="365">
        <v>27</v>
      </c>
      <c r="I68" s="365">
        <v>6</v>
      </c>
      <c r="J68" s="365">
        <v>5</v>
      </c>
      <c r="K68" s="365">
        <v>3</v>
      </c>
      <c r="L68" s="366">
        <v>130070</v>
      </c>
      <c r="M68" s="366">
        <f t="shared" si="0"/>
        <v>4817.4074074074078</v>
      </c>
      <c r="N68" s="437">
        <f t="shared" si="1"/>
        <v>0.22222222222222221</v>
      </c>
      <c r="O68" s="367">
        <f t="shared" si="2"/>
        <v>0.51851851851851849</v>
      </c>
      <c r="P68" s="368" t="s">
        <v>1976</v>
      </c>
      <c r="Q68" s="357"/>
      <c r="R68" s="357"/>
      <c r="S68" s="357"/>
      <c r="T68" s="357"/>
      <c r="U68" s="357"/>
      <c r="V68" s="357"/>
      <c r="W68" s="357"/>
      <c r="X68" s="357"/>
      <c r="Y68" s="357"/>
      <c r="Z68" s="357"/>
      <c r="AA68" s="357"/>
      <c r="AB68" s="357"/>
      <c r="AC68" s="357"/>
      <c r="AD68" s="357"/>
      <c r="AE68" s="357"/>
      <c r="AF68" s="357"/>
      <c r="AG68" s="357"/>
      <c r="AH68" s="357"/>
      <c r="AI68" s="357"/>
      <c r="AJ68" s="357"/>
      <c r="AK68" s="357"/>
      <c r="AL68" s="357"/>
      <c r="AM68" s="357"/>
      <c r="AN68" s="357"/>
      <c r="AO68" s="357"/>
      <c r="AP68" s="357"/>
      <c r="AQ68" s="357"/>
      <c r="AR68" s="358"/>
      <c r="AS68" s="359"/>
      <c r="AT68" s="359"/>
      <c r="AU68" s="359"/>
      <c r="AV68" s="359"/>
      <c r="AW68" s="359"/>
      <c r="AX68" s="359"/>
      <c r="AY68" s="350">
        <v>1</v>
      </c>
      <c r="AZ68" s="359"/>
      <c r="BA68" s="359" t="s">
        <v>2438</v>
      </c>
      <c r="BB68" s="350" t="s">
        <v>2438</v>
      </c>
    </row>
    <row r="69" spans="1:54" x14ac:dyDescent="0.15">
      <c r="A69" s="352" t="s">
        <v>1965</v>
      </c>
      <c r="B69" s="352" t="s">
        <v>713</v>
      </c>
      <c r="C69" s="352" t="s">
        <v>2454</v>
      </c>
      <c r="D69" s="352" t="s">
        <v>2455</v>
      </c>
      <c r="E69" s="352" t="s">
        <v>1136</v>
      </c>
      <c r="F69" s="353">
        <v>40641</v>
      </c>
      <c r="G69" s="354">
        <v>45000</v>
      </c>
      <c r="H69" s="348">
        <v>8</v>
      </c>
      <c r="I69" s="348">
        <v>2</v>
      </c>
      <c r="J69" s="348">
        <v>1</v>
      </c>
      <c r="K69" s="348">
        <v>1</v>
      </c>
      <c r="L69" s="354">
        <f>108600+251+212+18300</f>
        <v>127363</v>
      </c>
      <c r="M69" s="355">
        <f>L69/H69</f>
        <v>15920.375</v>
      </c>
      <c r="N69" s="438">
        <f>I69/H69</f>
        <v>0.25</v>
      </c>
      <c r="O69" s="356">
        <f>SUM(I69:K69)/H69</f>
        <v>0.5</v>
      </c>
      <c r="P69" s="349"/>
      <c r="Q69" s="357"/>
      <c r="R69" s="357"/>
      <c r="S69" s="357"/>
      <c r="T69" s="357"/>
      <c r="U69" s="357"/>
      <c r="V69" s="357"/>
      <c r="W69" s="357"/>
      <c r="X69" s="357"/>
      <c r="Y69" s="357"/>
      <c r="Z69" s="357"/>
      <c r="AA69" s="357"/>
      <c r="AB69" s="357"/>
      <c r="AC69" s="357"/>
      <c r="AD69" s="357"/>
      <c r="AE69" s="357"/>
      <c r="AF69" s="357"/>
      <c r="AG69" s="357"/>
      <c r="AH69" s="357"/>
      <c r="AI69" s="357"/>
      <c r="AJ69" s="357"/>
      <c r="AK69" s="357"/>
      <c r="AL69" s="357"/>
      <c r="AM69" s="357"/>
      <c r="AN69" s="357"/>
      <c r="AO69" s="357"/>
      <c r="AP69" s="357"/>
      <c r="AQ69" s="357"/>
      <c r="AR69" s="359"/>
      <c r="AS69" s="359"/>
      <c r="AT69" s="359"/>
      <c r="AU69" s="359"/>
      <c r="AV69" s="359"/>
      <c r="AW69" s="359"/>
      <c r="AX69" s="359"/>
      <c r="AY69" s="350">
        <v>1</v>
      </c>
      <c r="AZ69" s="359"/>
      <c r="BA69" s="359"/>
      <c r="BB69" s="359"/>
    </row>
    <row r="70" spans="1:54" x14ac:dyDescent="0.15">
      <c r="A70" s="362" t="s">
        <v>733</v>
      </c>
      <c r="B70" s="362" t="s">
        <v>969</v>
      </c>
      <c r="C70" s="362" t="s">
        <v>451</v>
      </c>
      <c r="D70" s="362" t="s">
        <v>999</v>
      </c>
      <c r="E70" s="362" t="s">
        <v>2449</v>
      </c>
      <c r="F70" s="363">
        <v>38797</v>
      </c>
      <c r="G70" s="364"/>
      <c r="H70" s="365">
        <v>39</v>
      </c>
      <c r="I70" s="365">
        <v>10</v>
      </c>
      <c r="J70" s="365">
        <v>11</v>
      </c>
      <c r="K70" s="365">
        <v>5</v>
      </c>
      <c r="L70" s="366">
        <v>126352</v>
      </c>
      <c r="M70" s="366">
        <f t="shared" si="0"/>
        <v>3239.7948717948716</v>
      </c>
      <c r="N70" s="437">
        <f t="shared" si="1"/>
        <v>0.25641025641025639</v>
      </c>
      <c r="O70" s="367">
        <f t="shared" si="2"/>
        <v>0.66666666666666663</v>
      </c>
      <c r="P70" s="368" t="s">
        <v>2282</v>
      </c>
      <c r="Q70" s="357"/>
      <c r="R70" s="357"/>
      <c r="S70" s="357"/>
      <c r="T70" s="357"/>
      <c r="U70" s="357"/>
      <c r="V70" s="357"/>
      <c r="W70" s="357"/>
      <c r="X70" s="357"/>
      <c r="Y70" s="357"/>
      <c r="Z70" s="357"/>
      <c r="AA70" s="357"/>
      <c r="AB70" s="357"/>
      <c r="AC70" s="357"/>
      <c r="AD70" s="357"/>
      <c r="AE70" s="357"/>
      <c r="AF70" s="357"/>
      <c r="AG70" s="357"/>
      <c r="AH70" s="357"/>
      <c r="AI70" s="357"/>
      <c r="AJ70" s="357"/>
      <c r="AK70" s="357"/>
      <c r="AL70" s="357"/>
      <c r="AM70" s="357"/>
      <c r="AN70" s="357"/>
      <c r="AO70" s="357"/>
      <c r="AP70" s="357"/>
      <c r="AQ70" s="357"/>
      <c r="AR70" s="358"/>
      <c r="AS70" s="359"/>
      <c r="AT70" s="359"/>
      <c r="AU70" s="359"/>
      <c r="AV70" s="359"/>
      <c r="AW70" s="359"/>
      <c r="AX70" s="359"/>
      <c r="AY70" s="350">
        <v>1</v>
      </c>
      <c r="AZ70" s="359"/>
      <c r="BA70" s="359" t="s">
        <v>2438</v>
      </c>
      <c r="BB70" s="350" t="s">
        <v>2438</v>
      </c>
    </row>
    <row r="71" spans="1:54" x14ac:dyDescent="0.15">
      <c r="A71" s="362" t="s">
        <v>637</v>
      </c>
      <c r="B71" s="362" t="s">
        <v>713</v>
      </c>
      <c r="C71" s="362" t="s">
        <v>1049</v>
      </c>
      <c r="D71" s="362" t="s">
        <v>448</v>
      </c>
      <c r="E71" s="362" t="s">
        <v>272</v>
      </c>
      <c r="F71" s="363">
        <v>38835</v>
      </c>
      <c r="G71" s="364"/>
      <c r="H71" s="365">
        <v>29</v>
      </c>
      <c r="I71" s="365">
        <v>7</v>
      </c>
      <c r="J71" s="365">
        <v>9</v>
      </c>
      <c r="K71" s="365">
        <v>3</v>
      </c>
      <c r="L71" s="366">
        <v>124206</v>
      </c>
      <c r="M71" s="366">
        <f t="shared" si="0"/>
        <v>4282.9655172413795</v>
      </c>
      <c r="N71" s="437">
        <f t="shared" si="1"/>
        <v>0.2413793103448276</v>
      </c>
      <c r="O71" s="367">
        <f t="shared" si="2"/>
        <v>0.65517241379310343</v>
      </c>
      <c r="P71" s="368" t="s">
        <v>1689</v>
      </c>
      <c r="Q71" s="357"/>
      <c r="R71" s="357"/>
      <c r="S71" s="357"/>
      <c r="T71" s="357"/>
      <c r="U71" s="357"/>
      <c r="V71" s="357"/>
      <c r="W71" s="357"/>
      <c r="X71" s="357"/>
      <c r="Y71" s="357"/>
      <c r="Z71" s="357"/>
      <c r="AA71" s="357"/>
      <c r="AB71" s="357"/>
      <c r="AC71" s="357"/>
      <c r="AD71" s="357"/>
      <c r="AE71" s="357"/>
      <c r="AF71" s="357"/>
      <c r="AG71" s="357"/>
      <c r="AH71" s="357"/>
      <c r="AI71" s="357"/>
      <c r="AJ71" s="357"/>
      <c r="AK71" s="357"/>
      <c r="AL71" s="357"/>
      <c r="AM71" s="357"/>
      <c r="AN71" s="357"/>
      <c r="AO71" s="357"/>
      <c r="AP71" s="357"/>
      <c r="AQ71" s="357"/>
      <c r="AR71" s="358"/>
      <c r="AS71" s="359"/>
      <c r="AT71" s="359"/>
      <c r="AU71" s="359"/>
      <c r="AV71" s="359"/>
      <c r="AW71" s="359"/>
      <c r="AX71" s="359"/>
      <c r="AY71" s="350">
        <v>1</v>
      </c>
      <c r="AZ71" s="359"/>
      <c r="BA71" s="359" t="s">
        <v>2438</v>
      </c>
      <c r="BB71" s="350" t="s">
        <v>2438</v>
      </c>
    </row>
    <row r="72" spans="1:54" x14ac:dyDescent="0.15">
      <c r="A72" s="352" t="s">
        <v>1943</v>
      </c>
      <c r="B72" s="352" t="s">
        <v>2353</v>
      </c>
      <c r="C72" s="352" t="s">
        <v>4217</v>
      </c>
      <c r="D72" s="352" t="s">
        <v>4218</v>
      </c>
      <c r="E72" s="352" t="s">
        <v>1811</v>
      </c>
      <c r="F72" s="353">
        <v>40632</v>
      </c>
      <c r="G72" s="354"/>
      <c r="H72" s="348">
        <v>20</v>
      </c>
      <c r="I72" s="348">
        <v>3</v>
      </c>
      <c r="J72" s="348">
        <v>5</v>
      </c>
      <c r="K72" s="348">
        <v>3</v>
      </c>
      <c r="L72" s="354">
        <f>121790+1980</f>
        <v>123770</v>
      </c>
      <c r="M72" s="355">
        <f>L72/H72</f>
        <v>6188.5</v>
      </c>
      <c r="N72" s="438">
        <f>I72/H72</f>
        <v>0.15</v>
      </c>
      <c r="O72" s="356">
        <f>SUM(I72:K72)/H72</f>
        <v>0.55000000000000004</v>
      </c>
      <c r="P72" s="349"/>
      <c r="Q72" s="357"/>
      <c r="R72" s="357"/>
      <c r="S72" s="357"/>
      <c r="T72" s="357"/>
      <c r="U72" s="357"/>
      <c r="V72" s="357"/>
      <c r="W72" s="357"/>
      <c r="X72" s="357"/>
      <c r="Y72" s="357"/>
      <c r="Z72" s="357"/>
      <c r="AA72" s="357"/>
      <c r="AB72" s="357"/>
      <c r="AC72" s="357"/>
      <c r="AD72" s="357"/>
      <c r="AE72" s="357"/>
      <c r="AF72" s="357"/>
      <c r="AG72" s="357"/>
      <c r="AH72" s="357"/>
      <c r="AI72" s="357"/>
      <c r="AJ72" s="357"/>
      <c r="AK72" s="357"/>
      <c r="AL72" s="357"/>
      <c r="AM72" s="357"/>
      <c r="AN72" s="357"/>
      <c r="AO72" s="357"/>
      <c r="AP72" s="357"/>
      <c r="AQ72" s="357"/>
      <c r="AR72" s="358"/>
      <c r="AS72" s="359"/>
      <c r="AT72" s="359"/>
      <c r="AU72" s="359"/>
      <c r="AV72" s="359"/>
      <c r="AW72" s="359"/>
      <c r="AX72" s="359"/>
      <c r="AY72" s="350"/>
      <c r="AZ72" s="359"/>
      <c r="BA72" s="359"/>
      <c r="BB72" s="359"/>
    </row>
    <row r="73" spans="1:54" x14ac:dyDescent="0.15">
      <c r="A73" s="352" t="s">
        <v>72</v>
      </c>
      <c r="B73" s="352" t="s">
        <v>1807</v>
      </c>
      <c r="C73" s="352" t="s">
        <v>422</v>
      </c>
      <c r="D73" s="352" t="s">
        <v>423</v>
      </c>
      <c r="E73" s="352" t="s">
        <v>293</v>
      </c>
      <c r="F73" s="353">
        <v>39861</v>
      </c>
      <c r="G73" s="354"/>
      <c r="H73" s="348">
        <v>28</v>
      </c>
      <c r="I73" s="348">
        <v>6</v>
      </c>
      <c r="J73" s="348">
        <v>3</v>
      </c>
      <c r="K73" s="348">
        <v>5</v>
      </c>
      <c r="L73" s="355">
        <f>120406+885+1086</f>
        <v>122377</v>
      </c>
      <c r="M73" s="355">
        <f>L73/H73</f>
        <v>4370.6071428571431</v>
      </c>
      <c r="N73" s="438">
        <f>I73/H73</f>
        <v>0.21428571428571427</v>
      </c>
      <c r="O73" s="356">
        <f>SUM(I73:K73)/H73</f>
        <v>0.5</v>
      </c>
      <c r="P73" s="349"/>
      <c r="Q73" s="357"/>
      <c r="R73" s="357"/>
      <c r="S73" s="357"/>
      <c r="T73" s="357"/>
      <c r="U73" s="357"/>
      <c r="V73" s="357"/>
      <c r="W73" s="357"/>
      <c r="X73" s="357"/>
      <c r="Y73" s="357"/>
      <c r="Z73" s="357"/>
      <c r="AA73" s="357"/>
      <c r="AB73" s="357"/>
      <c r="AC73" s="357"/>
      <c r="AD73" s="357"/>
      <c r="AE73" s="357"/>
      <c r="AF73" s="357"/>
      <c r="AG73" s="357"/>
      <c r="AH73" s="357"/>
      <c r="AI73" s="357"/>
      <c r="AJ73" s="357"/>
      <c r="AK73" s="357"/>
      <c r="AL73" s="357"/>
      <c r="AM73" s="357"/>
      <c r="AN73" s="357"/>
      <c r="AO73" s="357"/>
      <c r="AP73" s="357"/>
      <c r="AQ73" s="357"/>
      <c r="AR73" s="357"/>
      <c r="AS73" s="359"/>
      <c r="AT73" s="359"/>
      <c r="AU73" s="359"/>
      <c r="AV73" s="359"/>
      <c r="AW73" s="359"/>
      <c r="AX73" s="359"/>
      <c r="AY73" s="350"/>
      <c r="AZ73" s="359"/>
      <c r="BA73" s="359"/>
      <c r="BB73" s="350"/>
    </row>
    <row r="74" spans="1:54" x14ac:dyDescent="0.15">
      <c r="A74" s="352" t="s">
        <v>3154</v>
      </c>
      <c r="B74" s="352" t="s">
        <v>3077</v>
      </c>
      <c r="C74" s="352" t="s">
        <v>1240</v>
      </c>
      <c r="D74" s="352" t="s">
        <v>1271</v>
      </c>
      <c r="E74" s="352" t="s">
        <v>1335</v>
      </c>
      <c r="F74" s="353">
        <v>41401</v>
      </c>
      <c r="G74" s="354"/>
      <c r="H74" s="348">
        <v>5</v>
      </c>
      <c r="I74" s="348">
        <v>3</v>
      </c>
      <c r="J74" s="348">
        <v>1</v>
      </c>
      <c r="K74" s="348">
        <v>0</v>
      </c>
      <c r="L74" s="355">
        <v>119100</v>
      </c>
      <c r="M74" s="355">
        <f>L74/H74</f>
        <v>23820</v>
      </c>
      <c r="N74" s="438">
        <f>I74/H74</f>
        <v>0.6</v>
      </c>
      <c r="O74" s="356">
        <f>SUM(I74:K74)/H74</f>
        <v>0.8</v>
      </c>
      <c r="P74" s="349"/>
      <c r="Q74" s="357"/>
      <c r="R74" s="357"/>
      <c r="S74" s="357"/>
      <c r="T74" s="357"/>
      <c r="U74" s="357"/>
      <c r="V74" s="357"/>
      <c r="W74" s="357"/>
      <c r="X74" s="357"/>
      <c r="Y74" s="357"/>
      <c r="Z74" s="357"/>
      <c r="AA74" s="357"/>
      <c r="AB74" s="357"/>
      <c r="AC74" s="357"/>
      <c r="AD74" s="357"/>
      <c r="AE74" s="357"/>
      <c r="AF74" s="357"/>
      <c r="AG74" s="357"/>
      <c r="AH74" s="357"/>
      <c r="AI74" s="357"/>
      <c r="AJ74" s="357"/>
      <c r="AK74" s="357"/>
      <c r="AL74" s="357"/>
      <c r="AM74" s="357"/>
      <c r="AN74" s="357"/>
      <c r="AO74" s="357"/>
      <c r="AP74" s="357"/>
      <c r="AQ74" s="357"/>
      <c r="AR74" s="358"/>
      <c r="AS74" s="359"/>
      <c r="AT74" s="359"/>
      <c r="AU74" s="359"/>
      <c r="AV74" s="359"/>
      <c r="AW74" s="359"/>
      <c r="AX74" s="359"/>
      <c r="AY74" s="350"/>
      <c r="AZ74" s="359"/>
      <c r="BA74" s="359"/>
      <c r="BB74" s="350"/>
    </row>
    <row r="75" spans="1:54" x14ac:dyDescent="0.15">
      <c r="A75" s="352" t="s">
        <v>2364</v>
      </c>
      <c r="B75" s="352" t="s">
        <v>1988</v>
      </c>
      <c r="C75" s="352" t="s">
        <v>1867</v>
      </c>
      <c r="D75" s="352" t="s">
        <v>1868</v>
      </c>
      <c r="E75" s="352" t="s">
        <v>1869</v>
      </c>
      <c r="F75" s="353">
        <v>40977</v>
      </c>
      <c r="G75" s="354">
        <v>22000</v>
      </c>
      <c r="H75" s="348">
        <v>19</v>
      </c>
      <c r="I75" s="348">
        <v>5</v>
      </c>
      <c r="J75" s="348">
        <v>3</v>
      </c>
      <c r="K75" s="348">
        <v>4</v>
      </c>
      <c r="L75" s="354">
        <f>102450+700+1820+3400+7800+2080+700</f>
        <v>118950</v>
      </c>
      <c r="M75" s="354">
        <f t="shared" ref="M75" si="6">L75/H75</f>
        <v>6260.5263157894733</v>
      </c>
      <c r="N75" s="438">
        <f t="shared" ref="N75" si="7">I75/H75</f>
        <v>0.26315789473684209</v>
      </c>
      <c r="O75" s="356">
        <f>SUM(I75:K75)/H75</f>
        <v>0.63157894736842102</v>
      </c>
      <c r="P75" s="349"/>
      <c r="Q75" s="357"/>
      <c r="R75" s="357"/>
      <c r="S75" s="357"/>
      <c r="T75" s="357"/>
      <c r="U75" s="357"/>
      <c r="V75" s="357"/>
      <c r="W75" s="357"/>
      <c r="X75" s="357"/>
      <c r="Y75" s="357"/>
      <c r="Z75" s="357"/>
      <c r="AA75" s="357"/>
      <c r="AB75" s="357"/>
      <c r="AC75" s="357"/>
      <c r="AD75" s="357"/>
      <c r="AE75" s="357"/>
      <c r="AF75" s="357"/>
      <c r="AG75" s="357"/>
      <c r="AH75" s="357"/>
      <c r="AI75" s="357"/>
      <c r="AJ75" s="357"/>
      <c r="AK75" s="357"/>
      <c r="AL75" s="357"/>
      <c r="AM75" s="357"/>
      <c r="AN75" s="357"/>
      <c r="AO75" s="357"/>
      <c r="AP75" s="357"/>
      <c r="AQ75" s="357"/>
      <c r="AR75" s="359"/>
      <c r="AS75" s="359"/>
      <c r="AT75" s="359"/>
      <c r="AU75" s="359"/>
      <c r="AV75" s="359"/>
      <c r="AW75" s="359"/>
      <c r="AX75" s="359"/>
      <c r="AY75" s="350"/>
      <c r="AZ75" s="359"/>
      <c r="BA75" s="359"/>
      <c r="BB75" s="359"/>
    </row>
    <row r="76" spans="1:54" x14ac:dyDescent="0.15">
      <c r="A76" s="352" t="s">
        <v>2450</v>
      </c>
      <c r="B76" s="352" t="s">
        <v>1159</v>
      </c>
      <c r="C76" s="352" t="s">
        <v>1093</v>
      </c>
      <c r="D76" s="352" t="s">
        <v>937</v>
      </c>
      <c r="E76" s="352" t="s">
        <v>2451</v>
      </c>
      <c r="F76" s="353">
        <v>39194</v>
      </c>
      <c r="G76" s="354"/>
      <c r="H76" s="348">
        <v>12</v>
      </c>
      <c r="I76" s="348">
        <v>4</v>
      </c>
      <c r="J76" s="348">
        <v>0</v>
      </c>
      <c r="K76" s="348">
        <v>1</v>
      </c>
      <c r="L76" s="354">
        <v>117400</v>
      </c>
      <c r="M76" s="355">
        <f t="shared" si="0"/>
        <v>9783.3333333333339</v>
      </c>
      <c r="N76" s="438">
        <f t="shared" si="1"/>
        <v>0.33333333333333331</v>
      </c>
      <c r="O76" s="356">
        <f t="shared" si="2"/>
        <v>0.41666666666666669</v>
      </c>
      <c r="P76" s="349"/>
      <c r="Q76" s="357"/>
      <c r="R76" s="357"/>
      <c r="S76" s="357"/>
      <c r="T76" s="357"/>
      <c r="U76" s="357"/>
      <c r="V76" s="357"/>
      <c r="W76" s="357"/>
      <c r="X76" s="357"/>
      <c r="Y76" s="357"/>
      <c r="Z76" s="357"/>
      <c r="AA76" s="357"/>
      <c r="AB76" s="357"/>
      <c r="AC76" s="357"/>
      <c r="AD76" s="357"/>
      <c r="AE76" s="357"/>
      <c r="AF76" s="357"/>
      <c r="AG76" s="357"/>
      <c r="AH76" s="357"/>
      <c r="AI76" s="357"/>
      <c r="AJ76" s="357"/>
      <c r="AK76" s="357"/>
      <c r="AL76" s="357"/>
      <c r="AM76" s="357"/>
      <c r="AN76" s="357"/>
      <c r="AO76" s="357"/>
      <c r="AP76" s="357"/>
      <c r="AQ76" s="357"/>
      <c r="AR76" s="359"/>
      <c r="AS76" s="359"/>
      <c r="AT76" s="359"/>
      <c r="AU76" s="359"/>
      <c r="AV76" s="359"/>
      <c r="AW76" s="359"/>
      <c r="AX76" s="359"/>
      <c r="AY76" s="350">
        <v>1</v>
      </c>
      <c r="AZ76" s="359"/>
      <c r="BA76" s="359"/>
      <c r="BB76" s="359"/>
    </row>
    <row r="77" spans="1:54" x14ac:dyDescent="0.15">
      <c r="A77" s="362" t="s">
        <v>834</v>
      </c>
      <c r="B77" s="362" t="s">
        <v>713</v>
      </c>
      <c r="C77" s="362" t="s">
        <v>483</v>
      </c>
      <c r="D77" s="362" t="s">
        <v>695</v>
      </c>
      <c r="E77" s="362" t="s">
        <v>341</v>
      </c>
      <c r="F77" s="363">
        <v>38754</v>
      </c>
      <c r="G77" s="364">
        <v>400000</v>
      </c>
      <c r="H77" s="365">
        <v>17</v>
      </c>
      <c r="I77" s="365">
        <v>5</v>
      </c>
      <c r="J77" s="365">
        <v>0</v>
      </c>
      <c r="K77" s="365">
        <v>1</v>
      </c>
      <c r="L77" s="366">
        <v>117220</v>
      </c>
      <c r="M77" s="366">
        <f t="shared" si="0"/>
        <v>6895.2941176470586</v>
      </c>
      <c r="N77" s="437">
        <f t="shared" si="1"/>
        <v>0.29411764705882354</v>
      </c>
      <c r="O77" s="367">
        <f t="shared" si="2"/>
        <v>0.35294117647058826</v>
      </c>
      <c r="P77" s="368" t="s">
        <v>1593</v>
      </c>
      <c r="Q77" s="357"/>
      <c r="R77" s="357"/>
      <c r="S77" s="357"/>
      <c r="T77" s="357"/>
      <c r="U77" s="357"/>
      <c r="V77" s="357"/>
      <c r="W77" s="357"/>
      <c r="X77" s="357"/>
      <c r="Y77" s="357"/>
      <c r="Z77" s="357"/>
      <c r="AA77" s="357"/>
      <c r="AB77" s="357"/>
      <c r="AC77" s="357"/>
      <c r="AD77" s="357"/>
      <c r="AE77" s="357"/>
      <c r="AF77" s="357"/>
      <c r="AG77" s="357"/>
      <c r="AH77" s="357"/>
      <c r="AI77" s="357"/>
      <c r="AJ77" s="357"/>
      <c r="AK77" s="357"/>
      <c r="AL77" s="357"/>
      <c r="AM77" s="357"/>
      <c r="AN77" s="357"/>
      <c r="AO77" s="357"/>
      <c r="AP77" s="357"/>
      <c r="AQ77" s="357"/>
      <c r="AR77" s="357"/>
      <c r="AS77" s="359"/>
      <c r="AT77" s="359"/>
      <c r="AU77" s="359"/>
      <c r="AV77" s="359"/>
      <c r="AW77" s="359"/>
      <c r="AX77" s="359"/>
      <c r="AY77" s="350">
        <v>1</v>
      </c>
      <c r="AZ77" s="359"/>
      <c r="BA77" s="359" t="s">
        <v>2438</v>
      </c>
      <c r="BB77" s="350" t="s">
        <v>2438</v>
      </c>
    </row>
    <row r="78" spans="1:54" x14ac:dyDescent="0.15">
      <c r="A78" s="362" t="s">
        <v>357</v>
      </c>
      <c r="B78" s="362" t="s">
        <v>969</v>
      </c>
      <c r="C78" s="362" t="s">
        <v>578</v>
      </c>
      <c r="D78" s="362" t="s">
        <v>445</v>
      </c>
      <c r="E78" s="362" t="s">
        <v>339</v>
      </c>
      <c r="F78" s="363">
        <v>39140</v>
      </c>
      <c r="G78" s="364"/>
      <c r="H78" s="365">
        <v>19</v>
      </c>
      <c r="I78" s="365">
        <v>3</v>
      </c>
      <c r="J78" s="365">
        <v>1</v>
      </c>
      <c r="K78" s="365">
        <v>4</v>
      </c>
      <c r="L78" s="364">
        <v>115619</v>
      </c>
      <c r="M78" s="366">
        <f t="shared" si="0"/>
        <v>6085.2105263157891</v>
      </c>
      <c r="N78" s="437">
        <f t="shared" si="1"/>
        <v>0.15789473684210525</v>
      </c>
      <c r="O78" s="367">
        <f t="shared" si="2"/>
        <v>0.42105263157894735</v>
      </c>
      <c r="P78" s="368" t="s">
        <v>1604</v>
      </c>
      <c r="Q78" s="357"/>
      <c r="R78" s="357"/>
      <c r="S78" s="357"/>
      <c r="T78" s="357"/>
      <c r="U78" s="357"/>
      <c r="V78" s="357"/>
      <c r="W78" s="357"/>
      <c r="X78" s="357"/>
      <c r="Y78" s="357"/>
      <c r="Z78" s="357"/>
      <c r="AA78" s="357"/>
      <c r="AB78" s="357"/>
      <c r="AC78" s="357"/>
      <c r="AD78" s="357"/>
      <c r="AE78" s="357"/>
      <c r="AF78" s="357"/>
      <c r="AG78" s="357"/>
      <c r="AH78" s="357"/>
      <c r="AI78" s="357"/>
      <c r="AJ78" s="357"/>
      <c r="AK78" s="357"/>
      <c r="AL78" s="357"/>
      <c r="AM78" s="357"/>
      <c r="AN78" s="357"/>
      <c r="AO78" s="357"/>
      <c r="AP78" s="357"/>
      <c r="AQ78" s="357"/>
      <c r="AR78" s="357"/>
      <c r="AS78" s="359"/>
      <c r="AT78" s="359"/>
      <c r="AU78" s="359"/>
      <c r="AV78" s="359"/>
      <c r="AW78" s="359"/>
      <c r="AX78" s="359"/>
      <c r="AY78" s="350">
        <v>1</v>
      </c>
      <c r="AZ78" s="359"/>
      <c r="BA78" s="359"/>
      <c r="BB78" s="359"/>
    </row>
    <row r="79" spans="1:54" x14ac:dyDescent="0.15">
      <c r="A79" s="362" t="s">
        <v>378</v>
      </c>
      <c r="B79" s="362" t="s">
        <v>969</v>
      </c>
      <c r="C79" s="362" t="s">
        <v>513</v>
      </c>
      <c r="D79" s="362" t="s">
        <v>1043</v>
      </c>
      <c r="E79" s="362" t="s">
        <v>2452</v>
      </c>
      <c r="F79" s="363">
        <v>39154</v>
      </c>
      <c r="G79" s="364"/>
      <c r="H79" s="365">
        <v>40</v>
      </c>
      <c r="I79" s="365">
        <v>10</v>
      </c>
      <c r="J79" s="365">
        <v>10</v>
      </c>
      <c r="K79" s="365">
        <v>3</v>
      </c>
      <c r="L79" s="366">
        <v>113373</v>
      </c>
      <c r="M79" s="366">
        <f t="shared" si="0"/>
        <v>2834.3249999999998</v>
      </c>
      <c r="N79" s="437">
        <f t="shared" si="1"/>
        <v>0.25</v>
      </c>
      <c r="O79" s="367">
        <f t="shared" si="2"/>
        <v>0.57499999999999996</v>
      </c>
      <c r="P79" s="368" t="s">
        <v>1976</v>
      </c>
      <c r="Q79" s="357"/>
      <c r="R79" s="357"/>
      <c r="S79" s="357"/>
      <c r="T79" s="357"/>
      <c r="U79" s="357"/>
      <c r="V79" s="357"/>
      <c r="W79" s="357"/>
      <c r="X79" s="357"/>
      <c r="Y79" s="357"/>
      <c r="Z79" s="357"/>
      <c r="AA79" s="357"/>
      <c r="AB79" s="357"/>
      <c r="AC79" s="357"/>
      <c r="AD79" s="357"/>
      <c r="AE79" s="357"/>
      <c r="AF79" s="357"/>
      <c r="AG79" s="357"/>
      <c r="AH79" s="357"/>
      <c r="AI79" s="357"/>
      <c r="AJ79" s="357"/>
      <c r="AK79" s="357"/>
      <c r="AL79" s="357"/>
      <c r="AM79" s="357"/>
      <c r="AN79" s="357"/>
      <c r="AO79" s="357"/>
      <c r="AP79" s="357"/>
      <c r="AQ79" s="357"/>
      <c r="AR79" s="358"/>
      <c r="AS79" s="359"/>
      <c r="AT79" s="359"/>
      <c r="AU79" s="359"/>
      <c r="AV79" s="359"/>
      <c r="AW79" s="359"/>
      <c r="AX79" s="359"/>
      <c r="AY79" s="350">
        <v>1</v>
      </c>
      <c r="AZ79" s="359"/>
      <c r="BA79" s="359"/>
      <c r="BB79" s="350"/>
    </row>
    <row r="80" spans="1:54" x14ac:dyDescent="0.15">
      <c r="A80" s="362" t="s">
        <v>589</v>
      </c>
      <c r="B80" s="362" t="s">
        <v>1512</v>
      </c>
      <c r="C80" s="362" t="s">
        <v>485</v>
      </c>
      <c r="D80" s="362" t="s">
        <v>454</v>
      </c>
      <c r="E80" s="362" t="s">
        <v>2453</v>
      </c>
      <c r="F80" s="363">
        <v>38765</v>
      </c>
      <c r="G80" s="364">
        <v>350000</v>
      </c>
      <c r="H80" s="365">
        <v>37</v>
      </c>
      <c r="I80" s="365">
        <v>3</v>
      </c>
      <c r="J80" s="365">
        <v>3</v>
      </c>
      <c r="K80" s="365">
        <v>4</v>
      </c>
      <c r="L80" s="366">
        <v>111000</v>
      </c>
      <c r="M80" s="366">
        <f t="shared" si="0"/>
        <v>3000</v>
      </c>
      <c r="N80" s="437">
        <f t="shared" si="1"/>
        <v>8.1081081081081086E-2</v>
      </c>
      <c r="O80" s="367">
        <f t="shared" si="2"/>
        <v>0.27027027027027029</v>
      </c>
      <c r="P80" s="368" t="s">
        <v>1689</v>
      </c>
      <c r="Q80" s="357"/>
      <c r="R80" s="357"/>
      <c r="S80" s="357"/>
      <c r="T80" s="357"/>
      <c r="U80" s="357"/>
      <c r="V80" s="357"/>
      <c r="W80" s="357"/>
      <c r="X80" s="357"/>
      <c r="Y80" s="357"/>
      <c r="Z80" s="357"/>
      <c r="AA80" s="357"/>
      <c r="AB80" s="357"/>
      <c r="AC80" s="357"/>
      <c r="AD80" s="357"/>
      <c r="AE80" s="357"/>
      <c r="AF80" s="357"/>
      <c r="AG80" s="357"/>
      <c r="AH80" s="357"/>
      <c r="AI80" s="357"/>
      <c r="AJ80" s="357"/>
      <c r="AK80" s="357"/>
      <c r="AL80" s="357"/>
      <c r="AM80" s="357"/>
      <c r="AN80" s="357"/>
      <c r="AO80" s="357"/>
      <c r="AP80" s="357"/>
      <c r="AQ80" s="357"/>
      <c r="AR80" s="358"/>
      <c r="AS80" s="359"/>
      <c r="AT80" s="359"/>
      <c r="AU80" s="359"/>
      <c r="AV80" s="359"/>
      <c r="AW80" s="359"/>
      <c r="AX80" s="359"/>
      <c r="AY80" s="350">
        <v>1</v>
      </c>
      <c r="AZ80" s="359"/>
      <c r="BA80" s="359" t="s">
        <v>2438</v>
      </c>
      <c r="BB80" s="350" t="s">
        <v>2438</v>
      </c>
    </row>
    <row r="81" spans="1:54" x14ac:dyDescent="0.15">
      <c r="A81" s="352" t="s">
        <v>2143</v>
      </c>
      <c r="B81" s="352" t="s">
        <v>1895</v>
      </c>
      <c r="C81" s="352" t="s">
        <v>5373</v>
      </c>
      <c r="D81" s="352" t="s">
        <v>5374</v>
      </c>
      <c r="E81" s="352" t="s">
        <v>1790</v>
      </c>
      <c r="F81" s="353">
        <v>40970</v>
      </c>
      <c r="G81" s="354"/>
      <c r="H81" s="348">
        <v>5</v>
      </c>
      <c r="I81" s="348">
        <v>3</v>
      </c>
      <c r="J81" s="348">
        <v>0</v>
      </c>
      <c r="K81" s="348">
        <v>0</v>
      </c>
      <c r="L81" s="354">
        <v>112390</v>
      </c>
      <c r="M81" s="354">
        <f t="shared" si="0"/>
        <v>22478</v>
      </c>
      <c r="N81" s="438">
        <f t="shared" si="1"/>
        <v>0.6</v>
      </c>
      <c r="O81" s="356">
        <f>SUM(I81:K81)/H81</f>
        <v>0.6</v>
      </c>
      <c r="P81" s="349"/>
      <c r="Q81" s="357"/>
      <c r="R81" s="357"/>
      <c r="S81" s="357"/>
      <c r="T81" s="357"/>
      <c r="U81" s="357"/>
      <c r="V81" s="357"/>
      <c r="W81" s="357"/>
      <c r="X81" s="357"/>
      <c r="Y81" s="357"/>
      <c r="Z81" s="357"/>
      <c r="AA81" s="357"/>
      <c r="AB81" s="357"/>
      <c r="AC81" s="357"/>
      <c r="AD81" s="357"/>
      <c r="AE81" s="357"/>
      <c r="AF81" s="357"/>
      <c r="AG81" s="357"/>
      <c r="AH81" s="357"/>
      <c r="AI81" s="357"/>
      <c r="AJ81" s="357"/>
      <c r="AK81" s="357"/>
      <c r="AL81" s="357"/>
      <c r="AM81" s="357"/>
      <c r="AN81" s="357"/>
      <c r="AO81" s="357"/>
      <c r="AP81" s="357"/>
      <c r="AQ81" s="357"/>
      <c r="AR81" s="359"/>
      <c r="AS81" s="359"/>
      <c r="AT81" s="359"/>
      <c r="AU81" s="359"/>
      <c r="AV81" s="359"/>
      <c r="AW81" s="359"/>
      <c r="AX81" s="359"/>
      <c r="AY81" s="350"/>
      <c r="AZ81" s="359"/>
      <c r="BA81" s="359"/>
      <c r="BB81" s="359"/>
    </row>
    <row r="82" spans="1:54" x14ac:dyDescent="0.15">
      <c r="A82" s="362" t="s">
        <v>1000</v>
      </c>
      <c r="B82" s="362" t="s">
        <v>1967</v>
      </c>
      <c r="C82" s="362" t="s">
        <v>1142</v>
      </c>
      <c r="D82" s="362" t="s">
        <v>715</v>
      </c>
      <c r="E82" s="362" t="s">
        <v>340</v>
      </c>
      <c r="F82" s="363">
        <v>39143</v>
      </c>
      <c r="G82" s="364">
        <v>600000</v>
      </c>
      <c r="H82" s="365">
        <v>19</v>
      </c>
      <c r="I82" s="365">
        <v>3</v>
      </c>
      <c r="J82" s="365">
        <v>3</v>
      </c>
      <c r="K82" s="365">
        <v>4</v>
      </c>
      <c r="L82" s="364">
        <v>110691</v>
      </c>
      <c r="M82" s="366">
        <f t="shared" si="0"/>
        <v>5825.8421052631575</v>
      </c>
      <c r="N82" s="437">
        <f t="shared" si="1"/>
        <v>0.15789473684210525</v>
      </c>
      <c r="O82" s="367">
        <f t="shared" si="2"/>
        <v>0.52631578947368418</v>
      </c>
      <c r="P82" s="368" t="s">
        <v>1689</v>
      </c>
      <c r="Q82" s="357"/>
      <c r="R82" s="357"/>
      <c r="S82" s="357"/>
      <c r="T82" s="357"/>
      <c r="U82" s="357"/>
      <c r="V82" s="357"/>
      <c r="W82" s="357"/>
      <c r="X82" s="357"/>
      <c r="Y82" s="357"/>
      <c r="Z82" s="357"/>
      <c r="AA82" s="357"/>
      <c r="AB82" s="357"/>
      <c r="AC82" s="357"/>
      <c r="AD82" s="357"/>
      <c r="AE82" s="357"/>
      <c r="AF82" s="357"/>
      <c r="AG82" s="357"/>
      <c r="AH82" s="357"/>
      <c r="AI82" s="357"/>
      <c r="AJ82" s="357"/>
      <c r="AK82" s="357"/>
      <c r="AL82" s="357"/>
      <c r="AM82" s="357"/>
      <c r="AN82" s="357"/>
      <c r="AO82" s="357"/>
      <c r="AP82" s="357"/>
      <c r="AQ82" s="357"/>
      <c r="AR82" s="358"/>
      <c r="AS82" s="359"/>
      <c r="AT82" s="359"/>
      <c r="AU82" s="359"/>
      <c r="AV82" s="359"/>
      <c r="AW82" s="359"/>
      <c r="AX82" s="359"/>
      <c r="AY82" s="350">
        <v>1</v>
      </c>
      <c r="AZ82" s="359"/>
      <c r="BA82" s="359"/>
      <c r="BB82" s="359"/>
    </row>
    <row r="83" spans="1:54" x14ac:dyDescent="0.15">
      <c r="A83" s="352" t="s">
        <v>189</v>
      </c>
      <c r="B83" s="352" t="s">
        <v>969</v>
      </c>
      <c r="C83" s="352" t="s">
        <v>962</v>
      </c>
      <c r="D83" s="352" t="s">
        <v>699</v>
      </c>
      <c r="E83" s="352" t="s">
        <v>1391</v>
      </c>
      <c r="F83" s="360">
        <v>39541</v>
      </c>
      <c r="G83" s="354">
        <v>130000</v>
      </c>
      <c r="H83" s="348">
        <v>28</v>
      </c>
      <c r="I83" s="348">
        <v>2</v>
      </c>
      <c r="J83" s="348">
        <v>5</v>
      </c>
      <c r="K83" s="348">
        <v>5</v>
      </c>
      <c r="L83" s="354">
        <f>109504+331+205</f>
        <v>110040</v>
      </c>
      <c r="M83" s="355">
        <f t="shared" ref="M83:M95" si="8">L83/H83</f>
        <v>3930</v>
      </c>
      <c r="N83" s="438">
        <f t="shared" ref="N83:N95" si="9">I83/H83</f>
        <v>7.1428571428571425E-2</v>
      </c>
      <c r="O83" s="356">
        <f t="shared" ref="O83:O95" si="10">SUM(I83:K83)/H83</f>
        <v>0.42857142857142855</v>
      </c>
      <c r="P83" s="349"/>
      <c r="Q83" s="357"/>
      <c r="R83" s="357"/>
      <c r="S83" s="357"/>
      <c r="T83" s="357"/>
      <c r="U83" s="357"/>
      <c r="V83" s="357"/>
      <c r="W83" s="357"/>
      <c r="X83" s="357"/>
      <c r="Y83" s="357"/>
      <c r="Z83" s="357"/>
      <c r="AA83" s="357"/>
      <c r="AB83" s="357"/>
      <c r="AC83" s="357"/>
      <c r="AD83" s="357"/>
      <c r="AE83" s="357"/>
      <c r="AF83" s="357"/>
      <c r="AG83" s="357"/>
      <c r="AH83" s="357"/>
      <c r="AI83" s="357"/>
      <c r="AJ83" s="357"/>
      <c r="AK83" s="357"/>
      <c r="AL83" s="357"/>
      <c r="AM83" s="357"/>
      <c r="AN83" s="357"/>
      <c r="AO83" s="357"/>
      <c r="AP83" s="357"/>
      <c r="AQ83" s="357"/>
      <c r="AR83" s="359"/>
      <c r="AS83" s="359"/>
      <c r="AT83" s="359"/>
      <c r="AU83" s="359"/>
      <c r="AV83" s="359"/>
      <c r="AW83" s="359"/>
      <c r="AX83" s="359"/>
      <c r="AY83" s="350">
        <v>1</v>
      </c>
      <c r="AZ83" s="359"/>
      <c r="BA83" s="359"/>
      <c r="BB83" s="359"/>
    </row>
    <row r="84" spans="1:54" x14ac:dyDescent="0.15">
      <c r="A84" s="352" t="s">
        <v>1897</v>
      </c>
      <c r="B84" s="352" t="s">
        <v>112</v>
      </c>
      <c r="C84" s="352" t="s">
        <v>963</v>
      </c>
      <c r="D84" s="352" t="s">
        <v>836</v>
      </c>
      <c r="E84" s="352" t="s">
        <v>1492</v>
      </c>
      <c r="F84" s="353">
        <v>40214</v>
      </c>
      <c r="G84" s="354"/>
      <c r="H84" s="348">
        <v>25</v>
      </c>
      <c r="I84" s="348">
        <v>3</v>
      </c>
      <c r="J84" s="348">
        <v>4</v>
      </c>
      <c r="K84" s="348">
        <v>3</v>
      </c>
      <c r="L84" s="355">
        <f>103257+2640+380+300+1850+500</f>
        <v>108927</v>
      </c>
      <c r="M84" s="355">
        <f>L84/H84</f>
        <v>4357.08</v>
      </c>
      <c r="N84" s="438">
        <f>I84/H84</f>
        <v>0.12</v>
      </c>
      <c r="O84" s="356">
        <f>SUM(I84:K84)/H84</f>
        <v>0.4</v>
      </c>
      <c r="P84" s="349"/>
      <c r="Q84" s="357"/>
      <c r="R84" s="357"/>
      <c r="S84" s="357"/>
      <c r="T84" s="357"/>
      <c r="U84" s="357"/>
      <c r="V84" s="357"/>
      <c r="W84" s="357"/>
      <c r="X84" s="357"/>
      <c r="Y84" s="357"/>
      <c r="Z84" s="357"/>
      <c r="AA84" s="357"/>
      <c r="AB84" s="357"/>
      <c r="AC84" s="357"/>
      <c r="AD84" s="357"/>
      <c r="AE84" s="357"/>
      <c r="AF84" s="357"/>
      <c r="AG84" s="357"/>
      <c r="AH84" s="357"/>
      <c r="AI84" s="357"/>
      <c r="AJ84" s="357"/>
      <c r="AK84" s="357"/>
      <c r="AL84" s="357"/>
      <c r="AM84" s="357"/>
      <c r="AN84" s="357"/>
      <c r="AO84" s="357"/>
      <c r="AP84" s="357"/>
      <c r="AQ84" s="357"/>
      <c r="AR84" s="357"/>
      <c r="AS84" s="359"/>
      <c r="AT84" s="359"/>
      <c r="AU84" s="359"/>
      <c r="AV84" s="359"/>
      <c r="AW84" s="359"/>
      <c r="AX84" s="359"/>
      <c r="AY84" s="350"/>
      <c r="AZ84" s="359"/>
      <c r="BA84" s="359"/>
      <c r="BB84" s="350"/>
    </row>
    <row r="85" spans="1:54" x14ac:dyDescent="0.15">
      <c r="A85" s="362" t="s">
        <v>203</v>
      </c>
      <c r="B85" s="362" t="s">
        <v>111</v>
      </c>
      <c r="C85" s="362" t="s">
        <v>846</v>
      </c>
      <c r="D85" s="362" t="s">
        <v>927</v>
      </c>
      <c r="E85" s="362" t="s">
        <v>1396</v>
      </c>
      <c r="F85" s="363">
        <v>39496</v>
      </c>
      <c r="G85" s="364">
        <v>28000</v>
      </c>
      <c r="H85" s="365">
        <v>18</v>
      </c>
      <c r="I85" s="365">
        <v>5</v>
      </c>
      <c r="J85" s="365">
        <v>3</v>
      </c>
      <c r="K85" s="365">
        <v>3</v>
      </c>
      <c r="L85" s="364">
        <v>107208</v>
      </c>
      <c r="M85" s="366">
        <f t="shared" si="8"/>
        <v>5956</v>
      </c>
      <c r="N85" s="437">
        <f t="shared" si="9"/>
        <v>0.27777777777777779</v>
      </c>
      <c r="O85" s="367">
        <f t="shared" si="10"/>
        <v>0.61111111111111116</v>
      </c>
      <c r="P85" s="368" t="s">
        <v>2282</v>
      </c>
      <c r="Q85" s="357"/>
      <c r="R85" s="357"/>
      <c r="S85" s="357"/>
      <c r="T85" s="357"/>
      <c r="U85" s="357"/>
      <c r="V85" s="357"/>
      <c r="W85" s="357"/>
      <c r="X85" s="357"/>
      <c r="Y85" s="357"/>
      <c r="Z85" s="357"/>
      <c r="AA85" s="357"/>
      <c r="AB85" s="357"/>
      <c r="AC85" s="357"/>
      <c r="AD85" s="357"/>
      <c r="AE85" s="357"/>
      <c r="AF85" s="357"/>
      <c r="AG85" s="357"/>
      <c r="AH85" s="357"/>
      <c r="AI85" s="357"/>
      <c r="AJ85" s="357"/>
      <c r="AK85" s="357"/>
      <c r="AL85" s="357"/>
      <c r="AM85" s="357"/>
      <c r="AN85" s="357"/>
      <c r="AO85" s="357"/>
      <c r="AP85" s="357"/>
      <c r="AQ85" s="357"/>
      <c r="AR85" s="358"/>
      <c r="AS85" s="359"/>
      <c r="AT85" s="359"/>
      <c r="AU85" s="359"/>
      <c r="AV85" s="359"/>
      <c r="AW85" s="359"/>
      <c r="AX85" s="359"/>
      <c r="AY85" s="350">
        <v>1</v>
      </c>
      <c r="AZ85" s="359"/>
      <c r="BA85" s="359"/>
      <c r="BB85" s="359"/>
    </row>
    <row r="86" spans="1:54" x14ac:dyDescent="0.15">
      <c r="A86" s="362" t="s">
        <v>6</v>
      </c>
      <c r="B86" s="362" t="s">
        <v>3163</v>
      </c>
      <c r="C86" s="362" t="s">
        <v>1226</v>
      </c>
      <c r="D86" s="362" t="s">
        <v>937</v>
      </c>
      <c r="E86" s="362" t="s">
        <v>1264</v>
      </c>
      <c r="F86" s="363">
        <v>40213</v>
      </c>
      <c r="G86" s="364"/>
      <c r="H86" s="365">
        <v>7</v>
      </c>
      <c r="I86" s="365">
        <v>2</v>
      </c>
      <c r="J86" s="365">
        <v>1</v>
      </c>
      <c r="K86" s="365">
        <v>1</v>
      </c>
      <c r="L86" s="364">
        <v>106140</v>
      </c>
      <c r="M86" s="366">
        <f t="shared" si="8"/>
        <v>15162.857142857143</v>
      </c>
      <c r="N86" s="437">
        <f t="shared" si="9"/>
        <v>0.2857142857142857</v>
      </c>
      <c r="O86" s="367">
        <f t="shared" si="10"/>
        <v>0.5714285714285714</v>
      </c>
      <c r="P86" s="368" t="s">
        <v>2519</v>
      </c>
      <c r="Q86" s="357"/>
      <c r="R86" s="357"/>
      <c r="S86" s="357"/>
      <c r="T86" s="357"/>
      <c r="U86" s="357"/>
      <c r="V86" s="357"/>
      <c r="W86" s="357"/>
      <c r="X86" s="357"/>
      <c r="Y86" s="357"/>
      <c r="Z86" s="357"/>
      <c r="AA86" s="357"/>
      <c r="AB86" s="357"/>
      <c r="AC86" s="357"/>
      <c r="AD86" s="357"/>
      <c r="AE86" s="357"/>
      <c r="AF86" s="357"/>
      <c r="AG86" s="357"/>
      <c r="AH86" s="357"/>
      <c r="AI86" s="357"/>
      <c r="AJ86" s="357"/>
      <c r="AK86" s="357"/>
      <c r="AL86" s="357"/>
      <c r="AM86" s="357"/>
      <c r="AN86" s="357"/>
      <c r="AO86" s="357"/>
      <c r="AP86" s="357"/>
      <c r="AQ86" s="357"/>
      <c r="AR86" s="358"/>
      <c r="AS86" s="359"/>
      <c r="AT86" s="359"/>
      <c r="AU86" s="359"/>
      <c r="AV86" s="359"/>
      <c r="AW86" s="359"/>
      <c r="AX86" s="359"/>
      <c r="AY86" s="350">
        <v>1</v>
      </c>
      <c r="AZ86" s="359"/>
      <c r="BA86" s="359"/>
      <c r="BB86" s="359"/>
    </row>
    <row r="87" spans="1:54" x14ac:dyDescent="0.15">
      <c r="A87" s="362" t="s">
        <v>1528</v>
      </c>
      <c r="B87" s="362" t="s">
        <v>112</v>
      </c>
      <c r="C87" s="362" t="s">
        <v>385</v>
      </c>
      <c r="D87" s="362" t="s">
        <v>386</v>
      </c>
      <c r="E87" s="362" t="s">
        <v>1361</v>
      </c>
      <c r="F87" s="363">
        <v>39913</v>
      </c>
      <c r="G87" s="364">
        <v>3500</v>
      </c>
      <c r="H87" s="365">
        <v>13</v>
      </c>
      <c r="I87" s="365">
        <v>6</v>
      </c>
      <c r="J87" s="365">
        <v>3</v>
      </c>
      <c r="K87" s="365">
        <v>1</v>
      </c>
      <c r="L87" s="364">
        <v>106039</v>
      </c>
      <c r="M87" s="366">
        <f t="shared" si="8"/>
        <v>8156.8461538461543</v>
      </c>
      <c r="N87" s="437">
        <f t="shared" si="9"/>
        <v>0.46153846153846156</v>
      </c>
      <c r="O87" s="367">
        <f t="shared" si="10"/>
        <v>0.76923076923076927</v>
      </c>
      <c r="P87" s="368" t="s">
        <v>1976</v>
      </c>
      <c r="Q87" s="357"/>
      <c r="R87" s="357"/>
      <c r="S87" s="357"/>
      <c r="T87" s="357"/>
      <c r="U87" s="357"/>
      <c r="V87" s="357"/>
      <c r="W87" s="357"/>
      <c r="X87" s="357"/>
      <c r="Y87" s="357"/>
      <c r="Z87" s="357"/>
      <c r="AA87" s="357"/>
      <c r="AB87" s="357"/>
      <c r="AC87" s="357"/>
      <c r="AD87" s="357"/>
      <c r="AE87" s="357"/>
      <c r="AF87" s="357"/>
      <c r="AG87" s="357"/>
      <c r="AH87" s="357"/>
      <c r="AI87" s="357"/>
      <c r="AJ87" s="357"/>
      <c r="AK87" s="357"/>
      <c r="AL87" s="357"/>
      <c r="AM87" s="357"/>
      <c r="AN87" s="357"/>
      <c r="AO87" s="357"/>
      <c r="AP87" s="357"/>
      <c r="AQ87" s="357"/>
      <c r="AR87" s="358"/>
      <c r="AS87" s="359"/>
      <c r="AT87" s="359"/>
      <c r="AU87" s="359"/>
      <c r="AV87" s="359"/>
      <c r="AW87" s="359"/>
      <c r="AX87" s="359"/>
      <c r="AY87" s="350">
        <v>1</v>
      </c>
      <c r="AZ87" s="359"/>
      <c r="BA87" s="359"/>
      <c r="BB87" s="359"/>
    </row>
    <row r="88" spans="1:54" x14ac:dyDescent="0.15">
      <c r="A88" s="362" t="s">
        <v>860</v>
      </c>
      <c r="B88" s="362" t="s">
        <v>713</v>
      </c>
      <c r="C88" s="362" t="s">
        <v>806</v>
      </c>
      <c r="D88" s="362" t="s">
        <v>890</v>
      </c>
      <c r="E88" s="362" t="s">
        <v>2456</v>
      </c>
      <c r="F88" s="363">
        <v>39152</v>
      </c>
      <c r="G88" s="364">
        <v>150000</v>
      </c>
      <c r="H88" s="365">
        <v>34</v>
      </c>
      <c r="I88" s="365">
        <v>9</v>
      </c>
      <c r="J88" s="365">
        <v>6</v>
      </c>
      <c r="K88" s="365">
        <v>6</v>
      </c>
      <c r="L88" s="364">
        <v>105855</v>
      </c>
      <c r="M88" s="366">
        <f t="shared" si="8"/>
        <v>3113.3823529411766</v>
      </c>
      <c r="N88" s="437">
        <f t="shared" si="9"/>
        <v>0.26470588235294118</v>
      </c>
      <c r="O88" s="367">
        <f t="shared" si="10"/>
        <v>0.61764705882352944</v>
      </c>
      <c r="P88" s="368" t="s">
        <v>1976</v>
      </c>
      <c r="Q88" s="357"/>
      <c r="R88" s="357"/>
      <c r="S88" s="357"/>
      <c r="T88" s="357"/>
      <c r="U88" s="357"/>
      <c r="V88" s="357"/>
      <c r="W88" s="357"/>
      <c r="X88" s="357"/>
      <c r="Y88" s="357"/>
      <c r="Z88" s="357"/>
      <c r="AA88" s="357"/>
      <c r="AB88" s="357"/>
      <c r="AC88" s="357"/>
      <c r="AD88" s="357"/>
      <c r="AE88" s="357"/>
      <c r="AF88" s="357"/>
      <c r="AG88" s="357"/>
      <c r="AH88" s="357"/>
      <c r="AI88" s="357"/>
      <c r="AJ88" s="357"/>
      <c r="AK88" s="357"/>
      <c r="AL88" s="357"/>
      <c r="AM88" s="357"/>
      <c r="AN88" s="357"/>
      <c r="AO88" s="357"/>
      <c r="AP88" s="357"/>
      <c r="AQ88" s="357"/>
      <c r="AR88" s="358"/>
      <c r="AS88" s="359"/>
      <c r="AT88" s="359"/>
      <c r="AU88" s="359"/>
      <c r="AV88" s="359"/>
      <c r="AW88" s="359"/>
      <c r="AX88" s="359"/>
      <c r="AY88" s="350">
        <v>1</v>
      </c>
      <c r="AZ88" s="359"/>
      <c r="BA88" s="359"/>
      <c r="BB88" s="359"/>
    </row>
    <row r="89" spans="1:54" x14ac:dyDescent="0.15">
      <c r="A89" s="362" t="s">
        <v>1056</v>
      </c>
      <c r="B89" s="362" t="s">
        <v>713</v>
      </c>
      <c r="C89" s="362" t="s">
        <v>387</v>
      </c>
      <c r="D89" s="362" t="s">
        <v>388</v>
      </c>
      <c r="E89" s="362" t="s">
        <v>2444</v>
      </c>
      <c r="F89" s="363">
        <v>39188</v>
      </c>
      <c r="G89" s="364"/>
      <c r="H89" s="365">
        <v>21</v>
      </c>
      <c r="I89" s="365">
        <v>5</v>
      </c>
      <c r="J89" s="365">
        <v>3</v>
      </c>
      <c r="K89" s="365">
        <v>1</v>
      </c>
      <c r="L89" s="364">
        <v>105250</v>
      </c>
      <c r="M89" s="366">
        <f t="shared" si="8"/>
        <v>5011.9047619047615</v>
      </c>
      <c r="N89" s="437">
        <f t="shared" si="9"/>
        <v>0.23809523809523808</v>
      </c>
      <c r="O89" s="367">
        <f t="shared" si="10"/>
        <v>0.42857142857142855</v>
      </c>
      <c r="P89" s="368" t="s">
        <v>1689</v>
      </c>
      <c r="Q89" s="357"/>
      <c r="R89" s="357"/>
      <c r="S89" s="357"/>
      <c r="T89" s="357"/>
      <c r="U89" s="357"/>
      <c r="V89" s="357"/>
      <c r="W89" s="357"/>
      <c r="X89" s="357"/>
      <c r="Y89" s="357"/>
      <c r="Z89" s="357"/>
      <c r="AA89" s="357"/>
      <c r="AB89" s="357"/>
      <c r="AC89" s="357"/>
      <c r="AD89" s="357"/>
      <c r="AE89" s="357"/>
      <c r="AF89" s="357"/>
      <c r="AG89" s="357"/>
      <c r="AH89" s="357"/>
      <c r="AI89" s="357"/>
      <c r="AJ89" s="357"/>
      <c r="AK89" s="357"/>
      <c r="AL89" s="357"/>
      <c r="AM89" s="357"/>
      <c r="AN89" s="357"/>
      <c r="AO89" s="357"/>
      <c r="AP89" s="357"/>
      <c r="AQ89" s="357"/>
      <c r="AR89" s="359"/>
      <c r="AS89" s="359"/>
      <c r="AT89" s="359"/>
      <c r="AU89" s="359"/>
      <c r="AV89" s="359"/>
      <c r="AW89" s="359"/>
      <c r="AX89" s="359"/>
      <c r="AY89" s="350">
        <v>1</v>
      </c>
      <c r="AZ89" s="359"/>
      <c r="BA89" s="359"/>
      <c r="BB89" s="359"/>
    </row>
    <row r="90" spans="1:54" x14ac:dyDescent="0.15">
      <c r="A90" s="352" t="s">
        <v>2227</v>
      </c>
      <c r="B90" s="352" t="s">
        <v>28</v>
      </c>
      <c r="C90" s="352" t="s">
        <v>3527</v>
      </c>
      <c r="D90" s="352" t="s">
        <v>1857</v>
      </c>
      <c r="E90" s="352" t="s">
        <v>1776</v>
      </c>
      <c r="F90" s="353">
        <v>41008</v>
      </c>
      <c r="G90" s="354"/>
      <c r="H90" s="348">
        <v>14</v>
      </c>
      <c r="I90" s="348">
        <v>2</v>
      </c>
      <c r="J90" s="348">
        <v>1</v>
      </c>
      <c r="K90" s="348">
        <v>5</v>
      </c>
      <c r="L90" s="354">
        <f>104090+200+200</f>
        <v>104490</v>
      </c>
      <c r="M90" s="354">
        <f t="shared" ref="M90" si="11">L90/H90</f>
        <v>7463.5714285714284</v>
      </c>
      <c r="N90" s="438">
        <f t="shared" ref="N90" si="12">I90/H90</f>
        <v>0.14285714285714285</v>
      </c>
      <c r="O90" s="356">
        <f t="shared" ref="O90" si="13">SUM(I90:K90)/H90</f>
        <v>0.5714285714285714</v>
      </c>
      <c r="P90" s="349"/>
      <c r="Q90" s="357"/>
      <c r="R90" s="357"/>
      <c r="S90" s="357"/>
      <c r="T90" s="357"/>
      <c r="U90" s="357"/>
      <c r="V90" s="357"/>
      <c r="W90" s="357"/>
      <c r="X90" s="357"/>
      <c r="Y90" s="357"/>
      <c r="Z90" s="357"/>
      <c r="AA90" s="357"/>
      <c r="AB90" s="357"/>
      <c r="AC90" s="357"/>
      <c r="AD90" s="357"/>
      <c r="AE90" s="357"/>
      <c r="AF90" s="357"/>
      <c r="AG90" s="357"/>
      <c r="AH90" s="357"/>
      <c r="AI90" s="357"/>
      <c r="AJ90" s="357"/>
      <c r="AK90" s="357"/>
      <c r="AL90" s="357"/>
      <c r="AM90" s="357"/>
      <c r="AN90" s="357"/>
      <c r="AO90" s="357"/>
      <c r="AP90" s="357"/>
      <c r="AQ90" s="357"/>
      <c r="AR90" s="359"/>
      <c r="AS90" s="359"/>
      <c r="AT90" s="359"/>
      <c r="AU90" s="359"/>
      <c r="AV90" s="359"/>
      <c r="AW90" s="359"/>
      <c r="AX90" s="359"/>
      <c r="AY90" s="350"/>
      <c r="AZ90" s="359"/>
      <c r="BA90" s="359"/>
      <c r="BB90" s="359"/>
    </row>
    <row r="91" spans="1:54" x14ac:dyDescent="0.15">
      <c r="A91" s="352" t="s">
        <v>1534</v>
      </c>
      <c r="B91" s="352" t="s">
        <v>1895</v>
      </c>
      <c r="C91" s="352" t="s">
        <v>1536</v>
      </c>
      <c r="D91" s="352" t="s">
        <v>1541</v>
      </c>
      <c r="E91" s="352" t="s">
        <v>1535</v>
      </c>
      <c r="F91" s="353">
        <v>40602</v>
      </c>
      <c r="G91" s="354"/>
      <c r="H91" s="348">
        <v>31</v>
      </c>
      <c r="I91" s="348">
        <v>5</v>
      </c>
      <c r="J91" s="348">
        <v>2</v>
      </c>
      <c r="K91" s="348">
        <v>2</v>
      </c>
      <c r="L91" s="354">
        <f>101459+250+1888</f>
        <v>103597</v>
      </c>
      <c r="M91" s="354">
        <f>L91/H91</f>
        <v>3341.8387096774195</v>
      </c>
      <c r="N91" s="438">
        <f>I91/H91</f>
        <v>0.16129032258064516</v>
      </c>
      <c r="O91" s="356">
        <f>SUM(I91:K91)/H91</f>
        <v>0.29032258064516131</v>
      </c>
      <c r="P91" s="349"/>
      <c r="Q91" s="357"/>
      <c r="R91" s="357"/>
      <c r="S91" s="357"/>
      <c r="T91" s="357"/>
      <c r="U91" s="357"/>
      <c r="V91" s="357"/>
      <c r="W91" s="357"/>
      <c r="X91" s="357"/>
      <c r="Y91" s="357"/>
      <c r="Z91" s="357"/>
      <c r="AA91" s="357"/>
      <c r="AB91" s="357"/>
      <c r="AC91" s="357"/>
      <c r="AD91" s="357"/>
      <c r="AE91" s="357"/>
      <c r="AF91" s="357"/>
      <c r="AG91" s="357"/>
      <c r="AH91" s="357"/>
      <c r="AI91" s="357"/>
      <c r="AJ91" s="357"/>
      <c r="AK91" s="357"/>
      <c r="AL91" s="357"/>
      <c r="AM91" s="357"/>
      <c r="AN91" s="357"/>
      <c r="AO91" s="357"/>
      <c r="AP91" s="357"/>
      <c r="AQ91" s="357"/>
      <c r="AR91" s="359"/>
      <c r="AS91" s="359"/>
      <c r="AT91" s="359"/>
      <c r="AU91" s="359"/>
      <c r="AV91" s="359"/>
      <c r="AW91" s="359"/>
      <c r="AX91" s="359"/>
      <c r="AY91" s="350"/>
      <c r="AZ91" s="359"/>
      <c r="BA91" s="359"/>
      <c r="BB91" s="359"/>
    </row>
    <row r="92" spans="1:54" x14ac:dyDescent="0.15">
      <c r="A92" s="362" t="s">
        <v>1158</v>
      </c>
      <c r="B92" s="362" t="s">
        <v>713</v>
      </c>
      <c r="C92" s="362" t="s">
        <v>783</v>
      </c>
      <c r="D92" s="362" t="s">
        <v>739</v>
      </c>
      <c r="E92" s="362" t="s">
        <v>1429</v>
      </c>
      <c r="F92" s="363">
        <v>39173</v>
      </c>
      <c r="G92" s="364">
        <v>410000</v>
      </c>
      <c r="H92" s="365">
        <v>8</v>
      </c>
      <c r="I92" s="365">
        <v>4</v>
      </c>
      <c r="J92" s="365">
        <v>0</v>
      </c>
      <c r="K92" s="365">
        <v>2</v>
      </c>
      <c r="L92" s="366">
        <v>102184</v>
      </c>
      <c r="M92" s="366">
        <f t="shared" si="8"/>
        <v>12773</v>
      </c>
      <c r="N92" s="437">
        <f t="shared" si="9"/>
        <v>0.5</v>
      </c>
      <c r="O92" s="367">
        <f t="shared" si="10"/>
        <v>0.75</v>
      </c>
      <c r="P92" s="368" t="s">
        <v>1976</v>
      </c>
      <c r="Q92" s="357"/>
      <c r="R92" s="357"/>
      <c r="S92" s="357"/>
      <c r="T92" s="357"/>
      <c r="U92" s="357"/>
      <c r="V92" s="357"/>
      <c r="W92" s="357"/>
      <c r="X92" s="357"/>
      <c r="Y92" s="357"/>
      <c r="Z92" s="357"/>
      <c r="AA92" s="357"/>
      <c r="AB92" s="357"/>
      <c r="AC92" s="357"/>
      <c r="AD92" s="357"/>
      <c r="AE92" s="357"/>
      <c r="AF92" s="357"/>
      <c r="AG92" s="357"/>
      <c r="AH92" s="357"/>
      <c r="AI92" s="357"/>
      <c r="AJ92" s="357"/>
      <c r="AK92" s="357"/>
      <c r="AL92" s="357"/>
      <c r="AM92" s="357"/>
      <c r="AN92" s="357"/>
      <c r="AO92" s="357"/>
      <c r="AP92" s="357"/>
      <c r="AQ92" s="357"/>
      <c r="AR92" s="358"/>
      <c r="AS92" s="359"/>
      <c r="AT92" s="359"/>
      <c r="AU92" s="359"/>
      <c r="AV92" s="359"/>
      <c r="AW92" s="359"/>
      <c r="AX92" s="359"/>
      <c r="AY92" s="350">
        <v>1</v>
      </c>
      <c r="AZ92" s="359"/>
      <c r="BA92" s="359"/>
      <c r="BB92" s="350"/>
    </row>
    <row r="93" spans="1:54" x14ac:dyDescent="0.15">
      <c r="A93" s="362" t="s">
        <v>664</v>
      </c>
      <c r="B93" s="362" t="s">
        <v>1513</v>
      </c>
      <c r="C93" s="362" t="s">
        <v>692</v>
      </c>
      <c r="D93" s="362" t="s">
        <v>769</v>
      </c>
      <c r="E93" s="362" t="s">
        <v>312</v>
      </c>
      <c r="F93" s="363">
        <v>39144</v>
      </c>
      <c r="G93" s="364"/>
      <c r="H93" s="365">
        <v>20</v>
      </c>
      <c r="I93" s="365">
        <v>4</v>
      </c>
      <c r="J93" s="365">
        <v>4</v>
      </c>
      <c r="K93" s="365">
        <v>0</v>
      </c>
      <c r="L93" s="364">
        <v>101850</v>
      </c>
      <c r="M93" s="366">
        <f t="shared" si="8"/>
        <v>5092.5</v>
      </c>
      <c r="N93" s="437">
        <f t="shared" si="9"/>
        <v>0.2</v>
      </c>
      <c r="O93" s="367">
        <f t="shared" si="10"/>
        <v>0.4</v>
      </c>
      <c r="P93" s="368" t="s">
        <v>1689</v>
      </c>
      <c r="Q93" s="357"/>
      <c r="R93" s="357"/>
      <c r="S93" s="357"/>
      <c r="T93" s="357"/>
      <c r="U93" s="357"/>
      <c r="V93" s="357"/>
      <c r="W93" s="357"/>
      <c r="X93" s="357"/>
      <c r="Y93" s="357"/>
      <c r="Z93" s="357"/>
      <c r="AA93" s="357"/>
      <c r="AB93" s="357"/>
      <c r="AC93" s="357"/>
      <c r="AD93" s="357"/>
      <c r="AE93" s="357"/>
      <c r="AF93" s="357"/>
      <c r="AG93" s="357"/>
      <c r="AH93" s="357"/>
      <c r="AI93" s="357"/>
      <c r="AJ93" s="357"/>
      <c r="AK93" s="357"/>
      <c r="AL93" s="357"/>
      <c r="AM93" s="357"/>
      <c r="AN93" s="357"/>
      <c r="AO93" s="357"/>
      <c r="AP93" s="357"/>
      <c r="AQ93" s="357"/>
      <c r="AR93" s="358"/>
      <c r="AS93" s="359"/>
      <c r="AT93" s="359"/>
      <c r="AU93" s="359"/>
      <c r="AV93" s="359"/>
      <c r="AW93" s="359"/>
      <c r="AX93" s="359"/>
      <c r="AY93" s="350">
        <v>1</v>
      </c>
      <c r="AZ93" s="359"/>
      <c r="BA93" s="359"/>
      <c r="BB93" s="359"/>
    </row>
    <row r="94" spans="1:54" x14ac:dyDescent="0.15">
      <c r="A94" s="362" t="s">
        <v>736</v>
      </c>
      <c r="B94" s="362" t="s">
        <v>1513</v>
      </c>
      <c r="C94" s="362" t="s">
        <v>450</v>
      </c>
      <c r="D94" s="362" t="s">
        <v>608</v>
      </c>
      <c r="E94" s="362" t="s">
        <v>2457</v>
      </c>
      <c r="F94" s="363">
        <v>38800</v>
      </c>
      <c r="G94" s="364">
        <v>130000</v>
      </c>
      <c r="H94" s="365">
        <v>19</v>
      </c>
      <c r="I94" s="365">
        <v>4</v>
      </c>
      <c r="J94" s="365">
        <v>2</v>
      </c>
      <c r="K94" s="365">
        <v>3</v>
      </c>
      <c r="L94" s="364">
        <v>101636</v>
      </c>
      <c r="M94" s="366">
        <f t="shared" si="8"/>
        <v>5349.2631578947367</v>
      </c>
      <c r="N94" s="437">
        <f t="shared" si="9"/>
        <v>0.21052631578947367</v>
      </c>
      <c r="O94" s="367">
        <f t="shared" si="10"/>
        <v>0.47368421052631576</v>
      </c>
      <c r="P94" s="368" t="s">
        <v>2282</v>
      </c>
      <c r="Q94" s="357"/>
      <c r="R94" s="357"/>
      <c r="S94" s="357"/>
      <c r="T94" s="357"/>
      <c r="U94" s="357"/>
      <c r="V94" s="357"/>
      <c r="W94" s="357"/>
      <c r="X94" s="357"/>
      <c r="Y94" s="357"/>
      <c r="Z94" s="357"/>
      <c r="AA94" s="357"/>
      <c r="AB94" s="357"/>
      <c r="AC94" s="357"/>
      <c r="AD94" s="357"/>
      <c r="AE94" s="357"/>
      <c r="AF94" s="357"/>
      <c r="AG94" s="357"/>
      <c r="AH94" s="357"/>
      <c r="AI94" s="357"/>
      <c r="AJ94" s="357"/>
      <c r="AK94" s="357"/>
      <c r="AL94" s="357"/>
      <c r="AM94" s="357"/>
      <c r="AN94" s="357"/>
      <c r="AO94" s="357"/>
      <c r="AP94" s="357"/>
      <c r="AQ94" s="357"/>
      <c r="AR94" s="358"/>
      <c r="AS94" s="359"/>
      <c r="AT94" s="359"/>
      <c r="AU94" s="359"/>
      <c r="AV94" s="359"/>
      <c r="AW94" s="359"/>
      <c r="AX94" s="359"/>
      <c r="AY94" s="350">
        <v>1</v>
      </c>
      <c r="AZ94" s="359"/>
      <c r="BA94" s="359" t="s">
        <v>2438</v>
      </c>
      <c r="BB94" s="359" t="s">
        <v>2438</v>
      </c>
    </row>
    <row r="95" spans="1:54" x14ac:dyDescent="0.15">
      <c r="A95" s="362" t="s">
        <v>1941</v>
      </c>
      <c r="B95" s="362" t="s">
        <v>434</v>
      </c>
      <c r="C95" s="362" t="s">
        <v>3313</v>
      </c>
      <c r="D95" s="362" t="s">
        <v>3314</v>
      </c>
      <c r="E95" s="362" t="s">
        <v>1350</v>
      </c>
      <c r="F95" s="363">
        <v>40630</v>
      </c>
      <c r="G95" s="364"/>
      <c r="H95" s="365">
        <v>8</v>
      </c>
      <c r="I95" s="365">
        <v>2</v>
      </c>
      <c r="J95" s="365">
        <v>3</v>
      </c>
      <c r="K95" s="365">
        <v>0</v>
      </c>
      <c r="L95" s="366">
        <v>101270</v>
      </c>
      <c r="M95" s="366">
        <f t="shared" si="8"/>
        <v>12658.75</v>
      </c>
      <c r="N95" s="437">
        <f t="shared" si="9"/>
        <v>0.25</v>
      </c>
      <c r="O95" s="367">
        <f t="shared" si="10"/>
        <v>0.625</v>
      </c>
      <c r="P95" s="368" t="s">
        <v>3172</v>
      </c>
      <c r="Q95" s="357"/>
      <c r="R95" s="357"/>
      <c r="S95" s="357"/>
      <c r="T95" s="357"/>
      <c r="U95" s="357"/>
      <c r="V95" s="357"/>
      <c r="W95" s="357"/>
      <c r="X95" s="357"/>
      <c r="Y95" s="357"/>
      <c r="Z95" s="357"/>
      <c r="AA95" s="357"/>
      <c r="AB95" s="357"/>
      <c r="AC95" s="357"/>
      <c r="AD95" s="357"/>
      <c r="AE95" s="357"/>
      <c r="AF95" s="357"/>
      <c r="AG95" s="357"/>
      <c r="AH95" s="357"/>
      <c r="AI95" s="357"/>
      <c r="AJ95" s="357"/>
      <c r="AK95" s="357"/>
      <c r="AL95" s="357"/>
      <c r="AM95" s="357"/>
      <c r="AN95" s="357"/>
      <c r="AO95" s="357"/>
      <c r="AP95" s="357"/>
      <c r="AQ95" s="357"/>
      <c r="AR95" s="358"/>
      <c r="AS95" s="359"/>
      <c r="AT95" s="359"/>
      <c r="AU95" s="359"/>
      <c r="AV95" s="359"/>
      <c r="AW95" s="359"/>
      <c r="AX95" s="359"/>
      <c r="AY95" s="350"/>
      <c r="AZ95" s="359"/>
      <c r="BA95" s="359"/>
      <c r="BB95" s="350"/>
    </row>
  </sheetData>
  <pageMargins left="0.7" right="0.7" top="0.75" bottom="0.75" header="0.3" footer="0.3"/>
  <pageSetup orientation="portrait" horizontalDpi="4294967292" verticalDpi="4294967292"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heetViews>
  <sheetFormatPr baseColWidth="10" defaultColWidth="8.83203125" defaultRowHeight="13" x14ac:dyDescent="0.15"/>
  <sheetData>
    <row r="1" spans="1:6" s="13" customFormat="1" ht="12" customHeight="1" x14ac:dyDescent="0.15">
      <c r="A1" s="20" t="s">
        <v>1166</v>
      </c>
      <c r="E1" s="14"/>
      <c r="F1" s="21"/>
    </row>
    <row r="2" spans="1:6" s="13" customFormat="1" ht="12" customHeight="1" x14ac:dyDescent="0.15">
      <c r="A2" s="20"/>
      <c r="E2" s="14"/>
      <c r="F2" s="21"/>
    </row>
    <row r="3" spans="1:6" s="19" customFormat="1" ht="12" customHeight="1" x14ac:dyDescent="0.15"/>
    <row r="4" spans="1:6" s="19" customFormat="1" ht="12" customHeight="1" x14ac:dyDescent="0.15"/>
    <row r="5" spans="1:6" s="1" customFormat="1" ht="12" customHeight="1" x14ac:dyDescent="0.15">
      <c r="A5" s="1" t="s">
        <v>912</v>
      </c>
    </row>
    <row r="6" spans="1:6" s="19" customFormat="1" ht="12" customHeight="1" x14ac:dyDescent="0.15">
      <c r="A6" s="19" t="s">
        <v>419</v>
      </c>
    </row>
    <row r="7" spans="1:6" s="19" customFormat="1" ht="12" customHeight="1" x14ac:dyDescent="0.15">
      <c r="A7" s="19" t="s">
        <v>1128</v>
      </c>
    </row>
    <row r="8" spans="1:6" s="19" customFormat="1" ht="12" customHeight="1" x14ac:dyDescent="0.15">
      <c r="A8" s="19" t="s">
        <v>1104</v>
      </c>
    </row>
    <row r="9" spans="1:6" s="19" customFormat="1" ht="12" customHeight="1" x14ac:dyDescent="0.15">
      <c r="A9" s="19" t="s">
        <v>1105</v>
      </c>
    </row>
    <row r="10" spans="1:6" s="19" customFormat="1" ht="12" customHeight="1" x14ac:dyDescent="0.15"/>
    <row r="11" spans="1:6" s="19" customFormat="1" ht="12" customHeight="1" x14ac:dyDescent="0.15">
      <c r="A11" s="19" t="s">
        <v>1106</v>
      </c>
    </row>
    <row r="12" spans="1:6" s="19" customFormat="1" ht="12" customHeight="1" x14ac:dyDescent="0.15">
      <c r="A12" s="19" t="s">
        <v>1134</v>
      </c>
    </row>
    <row r="13" spans="1:6" s="19" customFormat="1" ht="12" customHeight="1" x14ac:dyDescent="0.15">
      <c r="A13" s="19" t="s">
        <v>1095</v>
      </c>
    </row>
    <row r="14" spans="1:6" s="19" customFormat="1" ht="12" customHeight="1" x14ac:dyDescent="0.15">
      <c r="A14" s="19" t="s">
        <v>1124</v>
      </c>
    </row>
    <row r="15" spans="1:6" s="19" customFormat="1" ht="12" customHeight="1" x14ac:dyDescent="0.15"/>
    <row r="16" spans="1:6" s="19" customFormat="1" ht="12" customHeight="1" x14ac:dyDescent="0.15">
      <c r="A16" s="19" t="s">
        <v>1231</v>
      </c>
    </row>
    <row r="17" s="19" customFormat="1" ht="12" customHeight="1" x14ac:dyDescent="0.15"/>
    <row r="18" s="19" customFormat="1" ht="12" customHeight="1" x14ac:dyDescent="0.15"/>
    <row r="19" s="19" customFormat="1" ht="12" customHeight="1" x14ac:dyDescent="0.15"/>
    <row r="20" s="19" customFormat="1" ht="12" customHeight="1" x14ac:dyDescent="0.15"/>
    <row r="21" s="19" customFormat="1" ht="12" customHeight="1" x14ac:dyDescent="0.15"/>
    <row r="22" s="19" customFormat="1" ht="12" customHeight="1" x14ac:dyDescent="0.15"/>
    <row r="23" s="19" customFormat="1" ht="12" customHeight="1" x14ac:dyDescent="0.15"/>
    <row r="24" s="19" customFormat="1" ht="12" customHeight="1" x14ac:dyDescent="0.15"/>
    <row r="25" s="19" customFormat="1" ht="12" customHeight="1" x14ac:dyDescent="0.15"/>
    <row r="26" ht="12" customHeight="1" x14ac:dyDescent="0.15"/>
    <row r="27" ht="12" customHeight="1" x14ac:dyDescent="0.15"/>
  </sheetData>
  <phoneticPr fontId="2" type="noConversion"/>
  <pageMargins left="0.75" right="0.75" top="1" bottom="1" header="0.5" footer="0.5"/>
  <pageSetup orientation="portrait" horizontalDpi="4294967294" vertic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0"/>
  <sheetViews>
    <sheetView workbookViewId="0">
      <pane ySplit="4" topLeftCell="A640" activePane="bottomLeft" state="frozen"/>
      <selection pane="bottomLeft" activeCell="A685" sqref="A685"/>
    </sheetView>
  </sheetViews>
  <sheetFormatPr baseColWidth="10" defaultColWidth="8.83203125" defaultRowHeight="12" customHeight="1" x14ac:dyDescent="0.15"/>
  <cols>
    <col min="1" max="1" width="20.83203125" style="213" customWidth="1"/>
    <col min="2" max="2" width="11.6640625" style="208" customWidth="1"/>
    <col min="3" max="3" width="9.1640625" style="209" customWidth="1"/>
    <col min="4" max="4" width="5.6640625" style="210" customWidth="1"/>
    <col min="5" max="5" width="9.5" style="209" customWidth="1"/>
    <col min="6" max="6" width="9.1640625" style="214" customWidth="1"/>
    <col min="7" max="7" width="4.1640625" style="209" customWidth="1"/>
    <col min="8" max="8" width="2.83203125" style="209" customWidth="1"/>
    <col min="9" max="9" width="7.5" style="209" customWidth="1"/>
    <col min="10" max="10" width="35.1640625" style="211" customWidth="1"/>
    <col min="11" max="71" width="20.1640625" style="212" customWidth="1"/>
    <col min="72" max="16384" width="8.83203125" style="212"/>
  </cols>
  <sheetData>
    <row r="1" spans="1:10" s="234" customFormat="1" ht="12" customHeight="1" x14ac:dyDescent="0.15">
      <c r="A1" s="228"/>
      <c r="B1" s="229"/>
      <c r="C1" s="230"/>
      <c r="D1" s="231"/>
      <c r="E1" s="230"/>
      <c r="F1" s="232"/>
      <c r="G1" s="230"/>
      <c r="H1" s="230"/>
      <c r="I1" s="230"/>
      <c r="J1" s="233"/>
    </row>
    <row r="2" spans="1:10" s="243" customFormat="1" ht="12" customHeight="1" x14ac:dyDescent="0.15">
      <c r="A2" s="235" t="s">
        <v>840</v>
      </c>
      <c r="B2" s="236"/>
      <c r="C2" s="237"/>
      <c r="D2" s="238"/>
      <c r="E2" s="239"/>
      <c r="F2" s="240" t="s">
        <v>1175</v>
      </c>
      <c r="G2" s="237"/>
      <c r="H2" s="241"/>
      <c r="I2" s="237"/>
      <c r="J2" s="242"/>
    </row>
    <row r="3" spans="1:10" s="234" customFormat="1" ht="12" customHeight="1" x14ac:dyDescent="0.15">
      <c r="A3" s="228"/>
      <c r="B3" s="229"/>
      <c r="C3" s="230"/>
      <c r="D3" s="231"/>
      <c r="E3" s="230"/>
      <c r="F3" s="232"/>
      <c r="G3" s="230"/>
      <c r="H3" s="230"/>
      <c r="I3" s="230"/>
      <c r="J3" s="233"/>
    </row>
    <row r="4" spans="1:10" s="250" customFormat="1" ht="12" customHeight="1" x14ac:dyDescent="0.15">
      <c r="A4" s="244" t="s">
        <v>548</v>
      </c>
      <c r="B4" s="245" t="s">
        <v>549</v>
      </c>
      <c r="C4" s="246" t="s">
        <v>550</v>
      </c>
      <c r="D4" s="247" t="s">
        <v>487</v>
      </c>
      <c r="E4" s="246" t="s">
        <v>666</v>
      </c>
      <c r="F4" s="248" t="s">
        <v>667</v>
      </c>
      <c r="G4" s="246" t="s">
        <v>1248</v>
      </c>
      <c r="H4" s="246" t="s">
        <v>1262</v>
      </c>
      <c r="I4" s="246" t="s">
        <v>1250</v>
      </c>
      <c r="J4" s="249" t="s">
        <v>669</v>
      </c>
    </row>
    <row r="5" spans="1:10" s="251" customFormat="1" ht="12" customHeight="1" x14ac:dyDescent="0.15">
      <c r="A5" s="489" t="s">
        <v>3674</v>
      </c>
      <c r="B5" s="490">
        <v>42370</v>
      </c>
      <c r="C5" s="491" t="s">
        <v>1950</v>
      </c>
      <c r="D5" s="492">
        <v>5</v>
      </c>
      <c r="E5" s="491" t="s">
        <v>3500</v>
      </c>
      <c r="F5" s="493">
        <v>7.5810185185185182E-4</v>
      </c>
      <c r="G5" s="491"/>
      <c r="H5" s="491"/>
      <c r="I5" s="494" t="s">
        <v>3185</v>
      </c>
      <c r="J5" s="495"/>
    </row>
    <row r="6" spans="1:10" s="252" customFormat="1" ht="12" customHeight="1" x14ac:dyDescent="0.15">
      <c r="A6" s="496" t="s">
        <v>3203</v>
      </c>
      <c r="B6" s="497">
        <v>42370</v>
      </c>
      <c r="C6" s="498" t="s">
        <v>1948</v>
      </c>
      <c r="D6" s="499">
        <v>3</v>
      </c>
      <c r="E6" s="498" t="s">
        <v>3500</v>
      </c>
      <c r="F6" s="500">
        <v>4.27662037037037E-4</v>
      </c>
      <c r="G6" s="498"/>
      <c r="H6" s="498"/>
      <c r="I6" s="501" t="s">
        <v>3191</v>
      </c>
      <c r="J6" s="502"/>
    </row>
    <row r="7" spans="1:10" s="252" customFormat="1" ht="12" customHeight="1" x14ac:dyDescent="0.15">
      <c r="A7" s="496" t="s">
        <v>2164</v>
      </c>
      <c r="B7" s="497">
        <v>42371</v>
      </c>
      <c r="C7" s="498" t="s">
        <v>2315</v>
      </c>
      <c r="D7" s="499">
        <v>4</v>
      </c>
      <c r="E7" s="498" t="s">
        <v>3500</v>
      </c>
      <c r="F7" s="500">
        <v>5.4780092592592586E-4</v>
      </c>
      <c r="G7" s="498"/>
      <c r="H7" s="498"/>
      <c r="I7" s="501" t="s">
        <v>3676</v>
      </c>
      <c r="J7" s="502"/>
    </row>
    <row r="8" spans="1:10" s="251" customFormat="1" ht="12" customHeight="1" x14ac:dyDescent="0.15">
      <c r="A8" s="489" t="s">
        <v>3694</v>
      </c>
      <c r="B8" s="490">
        <v>42371</v>
      </c>
      <c r="C8" s="491" t="s">
        <v>3193</v>
      </c>
      <c r="D8" s="492">
        <v>4</v>
      </c>
      <c r="E8" s="491" t="s">
        <v>3500</v>
      </c>
      <c r="F8" s="493">
        <v>5.6712962962962956E-4</v>
      </c>
      <c r="G8" s="491"/>
      <c r="H8" s="491"/>
      <c r="I8" s="494" t="s">
        <v>3678</v>
      </c>
      <c r="J8" s="495"/>
    </row>
    <row r="9" spans="1:10" s="251" customFormat="1" ht="12" customHeight="1" x14ac:dyDescent="0.15">
      <c r="A9" s="489" t="s">
        <v>1831</v>
      </c>
      <c r="B9" s="490">
        <v>42371</v>
      </c>
      <c r="C9" s="491" t="s">
        <v>1950</v>
      </c>
      <c r="D9" s="492">
        <v>5</v>
      </c>
      <c r="E9" s="491" t="s">
        <v>3500</v>
      </c>
      <c r="F9" s="493">
        <v>7.2974537037037029E-4</v>
      </c>
      <c r="G9" s="491"/>
      <c r="H9" s="491"/>
      <c r="I9" s="494" t="s">
        <v>3677</v>
      </c>
      <c r="J9" s="495"/>
    </row>
    <row r="10" spans="1:10" s="251" customFormat="1" ht="12" customHeight="1" x14ac:dyDescent="0.15">
      <c r="A10" s="489" t="s">
        <v>3679</v>
      </c>
      <c r="B10" s="490">
        <v>42371</v>
      </c>
      <c r="C10" s="491" t="s">
        <v>1950</v>
      </c>
      <c r="D10" s="492">
        <v>5</v>
      </c>
      <c r="E10" s="491" t="s">
        <v>3500</v>
      </c>
      <c r="F10" s="493">
        <v>7.3437500000000011E-4</v>
      </c>
      <c r="G10" s="491"/>
      <c r="H10" s="491"/>
      <c r="I10" s="494" t="s">
        <v>3680</v>
      </c>
      <c r="J10" s="495"/>
    </row>
    <row r="11" spans="1:10" s="251" customFormat="1" ht="12" customHeight="1" x14ac:dyDescent="0.15">
      <c r="A11" s="489" t="s">
        <v>1942</v>
      </c>
      <c r="B11" s="490">
        <v>42371</v>
      </c>
      <c r="C11" s="491" t="s">
        <v>1957</v>
      </c>
      <c r="D11" s="492">
        <v>4</v>
      </c>
      <c r="E11" s="491" t="s">
        <v>3500</v>
      </c>
      <c r="F11" s="493">
        <v>5.7175925925925927E-4</v>
      </c>
      <c r="G11" s="491"/>
      <c r="H11" s="491" t="s">
        <v>1249</v>
      </c>
      <c r="I11" s="494" t="s">
        <v>2303</v>
      </c>
      <c r="J11" s="495" t="s">
        <v>3681</v>
      </c>
    </row>
    <row r="12" spans="1:10" s="251" customFormat="1" ht="12" customHeight="1" x14ac:dyDescent="0.15">
      <c r="A12" s="489" t="s">
        <v>3682</v>
      </c>
      <c r="B12" s="490">
        <v>42371</v>
      </c>
      <c r="C12" s="491" t="s">
        <v>2293</v>
      </c>
      <c r="D12" s="492">
        <v>5</v>
      </c>
      <c r="E12" s="491" t="s">
        <v>3500</v>
      </c>
      <c r="F12" s="493">
        <v>7.291666666666667E-4</v>
      </c>
      <c r="G12" s="491"/>
      <c r="H12" s="491"/>
      <c r="I12" s="503" t="s">
        <v>3353</v>
      </c>
      <c r="J12" s="495" t="s">
        <v>2428</v>
      </c>
    </row>
    <row r="13" spans="1:10" s="251" customFormat="1" ht="12" customHeight="1" x14ac:dyDescent="0.15">
      <c r="A13" s="489" t="s">
        <v>1294</v>
      </c>
      <c r="B13" s="490">
        <v>42372</v>
      </c>
      <c r="C13" s="491" t="s">
        <v>1955</v>
      </c>
      <c r="D13" s="492">
        <v>5</v>
      </c>
      <c r="E13" s="491" t="s">
        <v>3500</v>
      </c>
      <c r="F13" s="493">
        <v>7.1527777777777779E-4</v>
      </c>
      <c r="G13" s="491"/>
      <c r="H13" s="491"/>
      <c r="I13" s="494" t="s">
        <v>3689</v>
      </c>
      <c r="J13" s="495"/>
    </row>
    <row r="14" spans="1:10" s="251" customFormat="1" ht="12" customHeight="1" x14ac:dyDescent="0.15">
      <c r="A14" s="489" t="s">
        <v>321</v>
      </c>
      <c r="B14" s="490">
        <v>42372</v>
      </c>
      <c r="C14" s="491" t="s">
        <v>2293</v>
      </c>
      <c r="D14" s="492">
        <v>4</v>
      </c>
      <c r="E14" s="491" t="s">
        <v>3500</v>
      </c>
      <c r="F14" s="493">
        <v>5.6712962962962956E-4</v>
      </c>
      <c r="G14" s="491"/>
      <c r="H14" s="491"/>
      <c r="I14" s="494" t="s">
        <v>3224</v>
      </c>
      <c r="J14" s="495" t="s">
        <v>2383</v>
      </c>
    </row>
    <row r="15" spans="1:10" s="251" customFormat="1" ht="12" customHeight="1" x14ac:dyDescent="0.15">
      <c r="A15" s="489" t="s">
        <v>1897</v>
      </c>
      <c r="B15" s="490">
        <v>42372</v>
      </c>
      <c r="C15" s="491" t="s">
        <v>1948</v>
      </c>
      <c r="D15" s="492">
        <v>4</v>
      </c>
      <c r="E15" s="491" t="s">
        <v>3500</v>
      </c>
      <c r="F15" s="493">
        <v>5.9675925925925933E-4</v>
      </c>
      <c r="G15" s="491"/>
      <c r="H15" s="491"/>
      <c r="I15" s="494" t="s">
        <v>3690</v>
      </c>
      <c r="J15" s="495" t="s">
        <v>3691</v>
      </c>
    </row>
    <row r="16" spans="1:10" s="251" customFormat="1" ht="12" customHeight="1" x14ac:dyDescent="0.15">
      <c r="A16" s="489" t="s">
        <v>58</v>
      </c>
      <c r="B16" s="490">
        <v>42372</v>
      </c>
      <c r="C16" s="491" t="s">
        <v>3200</v>
      </c>
      <c r="D16" s="492">
        <v>4</v>
      </c>
      <c r="E16" s="491" t="s">
        <v>3500</v>
      </c>
      <c r="F16" s="493">
        <v>5.7928240740740737E-4</v>
      </c>
      <c r="G16" s="491"/>
      <c r="H16" s="491"/>
      <c r="I16" s="494" t="s">
        <v>3692</v>
      </c>
      <c r="J16" s="495"/>
    </row>
    <row r="17" spans="1:10" s="251" customFormat="1" ht="12" customHeight="1" thickBot="1" x14ac:dyDescent="0.2">
      <c r="A17" s="489" t="s">
        <v>2365</v>
      </c>
      <c r="B17" s="490">
        <v>42372</v>
      </c>
      <c r="C17" s="491" t="s">
        <v>3477</v>
      </c>
      <c r="D17" s="492">
        <v>4</v>
      </c>
      <c r="E17" s="491" t="s">
        <v>3501</v>
      </c>
      <c r="F17" s="493">
        <v>5.5787037037037036E-4</v>
      </c>
      <c r="G17" s="491"/>
      <c r="H17" s="491"/>
      <c r="I17" s="491" t="s">
        <v>3696</v>
      </c>
      <c r="J17" s="495"/>
    </row>
    <row r="18" spans="1:10" s="252" customFormat="1" ht="12" customHeight="1" x14ac:dyDescent="0.15">
      <c r="A18" s="544" t="s">
        <v>3743</v>
      </c>
      <c r="B18" s="545">
        <v>42373</v>
      </c>
      <c r="C18" s="546" t="s">
        <v>3744</v>
      </c>
      <c r="D18" s="547">
        <v>4</v>
      </c>
      <c r="E18" s="548" t="s">
        <v>3500</v>
      </c>
      <c r="F18" s="549">
        <v>5.6886574074074066E-4</v>
      </c>
      <c r="G18" s="546"/>
      <c r="H18" s="546"/>
      <c r="I18" s="550" t="s">
        <v>3745</v>
      </c>
      <c r="J18" s="551" t="s">
        <v>2003</v>
      </c>
    </row>
    <row r="19" spans="1:10" s="251" customFormat="1" ht="12" customHeight="1" x14ac:dyDescent="0.15">
      <c r="A19" s="489" t="s">
        <v>1295</v>
      </c>
      <c r="B19" s="490">
        <v>42375</v>
      </c>
      <c r="C19" s="491" t="s">
        <v>1945</v>
      </c>
      <c r="D19" s="492">
        <v>6</v>
      </c>
      <c r="E19" s="491" t="s">
        <v>3500</v>
      </c>
      <c r="F19" s="493">
        <v>8.6342592592592591E-4</v>
      </c>
      <c r="G19" s="491"/>
      <c r="H19" s="491"/>
      <c r="I19" s="494" t="s">
        <v>3746</v>
      </c>
      <c r="J19" s="495"/>
    </row>
    <row r="20" spans="1:10" s="251" customFormat="1" ht="12" customHeight="1" x14ac:dyDescent="0.15">
      <c r="A20" s="489" t="s">
        <v>1943</v>
      </c>
      <c r="B20" s="490">
        <v>42375</v>
      </c>
      <c r="C20" s="491" t="s">
        <v>3460</v>
      </c>
      <c r="D20" s="492">
        <v>4</v>
      </c>
      <c r="E20" s="491" t="s">
        <v>3500</v>
      </c>
      <c r="F20" s="493">
        <v>5.8333333333333338E-4</v>
      </c>
      <c r="G20" s="491"/>
      <c r="H20" s="491"/>
      <c r="I20" s="494" t="s">
        <v>3747</v>
      </c>
      <c r="J20" s="495"/>
    </row>
    <row r="21" spans="1:10" s="251" customFormat="1" ht="12" customHeight="1" x14ac:dyDescent="0.15">
      <c r="A21" s="489" t="s">
        <v>3263</v>
      </c>
      <c r="B21" s="490">
        <v>42376</v>
      </c>
      <c r="C21" s="491" t="s">
        <v>3193</v>
      </c>
      <c r="D21" s="492">
        <v>4</v>
      </c>
      <c r="E21" s="491" t="s">
        <v>3500</v>
      </c>
      <c r="F21" s="493">
        <v>5.6250000000000007E-4</v>
      </c>
      <c r="G21" s="491"/>
      <c r="H21" s="491"/>
      <c r="I21" s="494" t="s">
        <v>3748</v>
      </c>
      <c r="J21" s="495"/>
    </row>
    <row r="22" spans="1:10" s="251" customFormat="1" ht="12" customHeight="1" x14ac:dyDescent="0.15">
      <c r="A22" s="489" t="s">
        <v>2228</v>
      </c>
      <c r="B22" s="490">
        <v>42376</v>
      </c>
      <c r="C22" s="491" t="s">
        <v>1952</v>
      </c>
      <c r="D22" s="492">
        <v>5</v>
      </c>
      <c r="E22" s="491" t="s">
        <v>3500</v>
      </c>
      <c r="F22" s="493">
        <v>7.2685185185185179E-4</v>
      </c>
      <c r="G22" s="491" t="s">
        <v>961</v>
      </c>
      <c r="H22" s="491"/>
      <c r="I22" s="494" t="s">
        <v>3749</v>
      </c>
      <c r="J22" s="495"/>
    </row>
    <row r="23" spans="1:10" s="251" customFormat="1" ht="12" customHeight="1" x14ac:dyDescent="0.15">
      <c r="A23" s="489" t="s">
        <v>2467</v>
      </c>
      <c r="B23" s="490">
        <v>42376</v>
      </c>
      <c r="C23" s="491" t="s">
        <v>1947</v>
      </c>
      <c r="D23" s="492">
        <v>4</v>
      </c>
      <c r="E23" s="491" t="s">
        <v>3500</v>
      </c>
      <c r="F23" s="493">
        <v>5.9224537037037036E-4</v>
      </c>
      <c r="G23" s="491"/>
      <c r="H23" s="491" t="s">
        <v>1249</v>
      </c>
      <c r="I23" s="494" t="s">
        <v>3750</v>
      </c>
      <c r="J23" s="495"/>
    </row>
    <row r="24" spans="1:10" s="251" customFormat="1" ht="12" customHeight="1" x14ac:dyDescent="0.15">
      <c r="A24" s="489" t="s">
        <v>1667</v>
      </c>
      <c r="B24" s="490">
        <v>42379</v>
      </c>
      <c r="C24" s="491" t="s">
        <v>2006</v>
      </c>
      <c r="D24" s="492">
        <v>4</v>
      </c>
      <c r="E24" s="491" t="s">
        <v>3500</v>
      </c>
      <c r="F24" s="493">
        <v>6.4120370370370373E-4</v>
      </c>
      <c r="G24" s="491"/>
      <c r="H24" s="491"/>
      <c r="I24" s="494" t="s">
        <v>366</v>
      </c>
      <c r="J24" s="495" t="s">
        <v>3783</v>
      </c>
    </row>
    <row r="25" spans="1:10" s="251" customFormat="1" ht="12" customHeight="1" x14ac:dyDescent="0.15">
      <c r="A25" s="552" t="s">
        <v>58</v>
      </c>
      <c r="B25" s="490">
        <v>42378</v>
      </c>
      <c r="C25" s="491" t="s">
        <v>1947</v>
      </c>
      <c r="D25" s="492">
        <v>4</v>
      </c>
      <c r="E25" s="491" t="s">
        <v>3500</v>
      </c>
      <c r="F25" s="493">
        <v>5.7986111111111118E-4</v>
      </c>
      <c r="G25" s="491"/>
      <c r="H25" s="491"/>
      <c r="I25" s="494" t="s">
        <v>3790</v>
      </c>
      <c r="J25" s="495"/>
    </row>
    <row r="26" spans="1:10" s="251" customFormat="1" ht="12" customHeight="1" x14ac:dyDescent="0.15">
      <c r="A26" s="489" t="s">
        <v>3183</v>
      </c>
      <c r="B26" s="490">
        <v>42378</v>
      </c>
      <c r="C26" s="491" t="s">
        <v>86</v>
      </c>
      <c r="D26" s="492">
        <v>4</v>
      </c>
      <c r="E26" s="491" t="s">
        <v>3500</v>
      </c>
      <c r="F26" s="493">
        <v>5.8159722222222217E-4</v>
      </c>
      <c r="G26" s="491"/>
      <c r="H26" s="491" t="s">
        <v>1249</v>
      </c>
      <c r="I26" s="494" t="s">
        <v>3791</v>
      </c>
      <c r="J26" s="495"/>
    </row>
    <row r="27" spans="1:10" s="252" customFormat="1" ht="12" customHeight="1" x14ac:dyDescent="0.15">
      <c r="A27" s="496" t="s">
        <v>2177</v>
      </c>
      <c r="B27" s="497">
        <v>42378</v>
      </c>
      <c r="C27" s="498" t="s">
        <v>3792</v>
      </c>
      <c r="D27" s="499">
        <v>4</v>
      </c>
      <c r="E27" s="498" t="s">
        <v>3500</v>
      </c>
      <c r="F27" s="500">
        <v>5.6018518518518516E-4</v>
      </c>
      <c r="G27" s="498"/>
      <c r="H27" s="498"/>
      <c r="I27" s="501" t="s">
        <v>3260</v>
      </c>
      <c r="J27" s="502"/>
    </row>
    <row r="28" spans="1:10" s="251" customFormat="1" ht="12" customHeight="1" thickBot="1" x14ac:dyDescent="0.2">
      <c r="A28" s="489" t="s">
        <v>2480</v>
      </c>
      <c r="B28" s="490">
        <v>42377</v>
      </c>
      <c r="C28" s="491" t="s">
        <v>1948</v>
      </c>
      <c r="D28" s="492">
        <v>3</v>
      </c>
      <c r="E28" s="491" t="s">
        <v>3500</v>
      </c>
      <c r="F28" s="493">
        <v>4.3344907407407416E-4</v>
      </c>
      <c r="G28" s="491"/>
      <c r="H28" s="491"/>
      <c r="I28" s="491" t="s">
        <v>3793</v>
      </c>
      <c r="J28" s="495"/>
    </row>
    <row r="29" spans="1:10" s="251" customFormat="1" ht="12" customHeight="1" x14ac:dyDescent="0.15">
      <c r="A29" s="540" t="s">
        <v>2467</v>
      </c>
      <c r="B29" s="253">
        <v>42381</v>
      </c>
      <c r="C29" s="254" t="s">
        <v>1947</v>
      </c>
      <c r="D29" s="255">
        <v>4</v>
      </c>
      <c r="E29" s="342" t="s">
        <v>3500</v>
      </c>
      <c r="F29" s="256">
        <v>6.2546296296296297E-4</v>
      </c>
      <c r="G29" s="254"/>
      <c r="H29" s="254"/>
      <c r="I29" s="257" t="s">
        <v>3839</v>
      </c>
      <c r="J29" s="258"/>
    </row>
    <row r="30" spans="1:10" s="251" customFormat="1" ht="12" customHeight="1" x14ac:dyDescent="0.15">
      <c r="A30" s="489" t="s">
        <v>3840</v>
      </c>
      <c r="B30" s="490">
        <v>42381</v>
      </c>
      <c r="C30" s="491" t="s">
        <v>1945</v>
      </c>
      <c r="D30" s="492">
        <v>4</v>
      </c>
      <c r="E30" s="491" t="s">
        <v>3500</v>
      </c>
      <c r="F30" s="493">
        <v>5.8101851851851858E-4</v>
      </c>
      <c r="G30" s="491"/>
      <c r="H30" s="491"/>
      <c r="I30" s="494" t="s">
        <v>3850</v>
      </c>
      <c r="J30" s="495" t="s">
        <v>3849</v>
      </c>
    </row>
    <row r="31" spans="1:10" s="251" customFormat="1" ht="12" customHeight="1" x14ac:dyDescent="0.15">
      <c r="A31" s="489" t="s">
        <v>3682</v>
      </c>
      <c r="B31" s="490">
        <v>42383</v>
      </c>
      <c r="C31" s="491" t="s">
        <v>2293</v>
      </c>
      <c r="D31" s="492">
        <v>4</v>
      </c>
      <c r="E31" s="491" t="s">
        <v>3500</v>
      </c>
      <c r="F31" s="493">
        <v>5.9027777777777778E-4</v>
      </c>
      <c r="G31" s="491"/>
      <c r="H31" s="491" t="s">
        <v>1249</v>
      </c>
      <c r="I31" s="494" t="s">
        <v>3860</v>
      </c>
      <c r="J31" s="495" t="s">
        <v>2310</v>
      </c>
    </row>
    <row r="32" spans="1:10" s="251" customFormat="1" ht="12" customHeight="1" x14ac:dyDescent="0.15">
      <c r="A32" s="489" t="s">
        <v>1897</v>
      </c>
      <c r="B32" s="490">
        <v>42383</v>
      </c>
      <c r="C32" s="491" t="s">
        <v>1948</v>
      </c>
      <c r="D32" s="492">
        <v>4</v>
      </c>
      <c r="E32" s="491" t="s">
        <v>3500</v>
      </c>
      <c r="F32" s="493">
        <v>5.8194444444444439E-4</v>
      </c>
      <c r="G32" s="491"/>
      <c r="H32" s="491"/>
      <c r="I32" s="494" t="s">
        <v>3861</v>
      </c>
      <c r="J32" s="495"/>
    </row>
    <row r="33" spans="1:10" s="251" customFormat="1" ht="12" customHeight="1" x14ac:dyDescent="0.15">
      <c r="A33" s="489" t="s">
        <v>2478</v>
      </c>
      <c r="B33" s="490">
        <v>42382</v>
      </c>
      <c r="C33" s="491" t="s">
        <v>1945</v>
      </c>
      <c r="D33" s="492">
        <v>4</v>
      </c>
      <c r="E33" s="491" t="s">
        <v>3500</v>
      </c>
      <c r="F33" s="493">
        <v>5.6481481481481476E-4</v>
      </c>
      <c r="G33" s="491"/>
      <c r="H33" s="491"/>
      <c r="I33" s="494" t="s">
        <v>3862</v>
      </c>
      <c r="J33" s="495" t="s">
        <v>2383</v>
      </c>
    </row>
    <row r="34" spans="1:10" s="251" customFormat="1" ht="12" customHeight="1" x14ac:dyDescent="0.15">
      <c r="A34" s="489" t="s">
        <v>3863</v>
      </c>
      <c r="B34" s="490">
        <v>42378</v>
      </c>
      <c r="C34" s="491" t="s">
        <v>3864</v>
      </c>
      <c r="D34" s="492">
        <v>4</v>
      </c>
      <c r="E34" s="518" t="s">
        <v>3500</v>
      </c>
      <c r="F34" s="493">
        <v>5.9490740740740739E-4</v>
      </c>
      <c r="G34" s="491"/>
      <c r="H34" s="491"/>
      <c r="I34" s="494" t="s">
        <v>3185</v>
      </c>
      <c r="J34" s="495"/>
    </row>
    <row r="35" spans="1:10" s="251" customFormat="1" ht="12" customHeight="1" x14ac:dyDescent="0.15">
      <c r="A35" s="489" t="s">
        <v>1667</v>
      </c>
      <c r="B35" s="490">
        <v>42383</v>
      </c>
      <c r="C35" s="491" t="s">
        <v>2006</v>
      </c>
      <c r="D35" s="492">
        <v>4</v>
      </c>
      <c r="E35" s="491" t="s">
        <v>3502</v>
      </c>
      <c r="F35" s="493">
        <v>6.3541666666666662E-4</v>
      </c>
      <c r="G35" s="491"/>
      <c r="H35" s="491"/>
      <c r="I35" s="494" t="s">
        <v>366</v>
      </c>
      <c r="J35" s="495" t="s">
        <v>3865</v>
      </c>
    </row>
    <row r="36" spans="1:10" s="251" customFormat="1" ht="12" customHeight="1" x14ac:dyDescent="0.15">
      <c r="A36" s="489" t="s">
        <v>984</v>
      </c>
      <c r="B36" s="490">
        <v>42383</v>
      </c>
      <c r="C36" s="491" t="s">
        <v>1946</v>
      </c>
      <c r="D36" s="492">
        <v>3</v>
      </c>
      <c r="E36" s="491" t="s">
        <v>3500</v>
      </c>
      <c r="F36" s="493">
        <v>4.236111111111111E-4</v>
      </c>
      <c r="G36" s="491"/>
      <c r="H36" s="491"/>
      <c r="I36" s="494" t="s">
        <v>3287</v>
      </c>
      <c r="J36" s="495" t="s">
        <v>3870</v>
      </c>
    </row>
    <row r="37" spans="1:10" s="251" customFormat="1" ht="12" customHeight="1" x14ac:dyDescent="0.15">
      <c r="A37" s="489" t="s">
        <v>2170</v>
      </c>
      <c r="B37" s="490">
        <v>42384</v>
      </c>
      <c r="C37" s="491" t="s">
        <v>2293</v>
      </c>
      <c r="D37" s="492">
        <v>4</v>
      </c>
      <c r="E37" s="491" t="s">
        <v>3500</v>
      </c>
      <c r="F37" s="493">
        <v>5.7638888888888887E-4</v>
      </c>
      <c r="G37" s="491"/>
      <c r="H37" s="491"/>
      <c r="I37" s="494" t="s">
        <v>3874</v>
      </c>
      <c r="J37" s="495" t="s">
        <v>3875</v>
      </c>
    </row>
    <row r="38" spans="1:10" s="251" customFormat="1" ht="12" customHeight="1" x14ac:dyDescent="0.15">
      <c r="A38" s="489" t="s">
        <v>36</v>
      </c>
      <c r="B38" s="490">
        <v>42384</v>
      </c>
      <c r="C38" s="491" t="s">
        <v>3876</v>
      </c>
      <c r="D38" s="492">
        <v>4</v>
      </c>
      <c r="E38" s="491" t="s">
        <v>3500</v>
      </c>
      <c r="F38" s="493">
        <v>6.2500000000000001E-4</v>
      </c>
      <c r="G38" s="491"/>
      <c r="H38" s="491"/>
      <c r="I38" s="494" t="s">
        <v>3156</v>
      </c>
      <c r="J38" s="495"/>
    </row>
    <row r="39" spans="1:10" s="252" customFormat="1" ht="12" customHeight="1" thickBot="1" x14ac:dyDescent="0.2">
      <c r="A39" s="496" t="s">
        <v>2459</v>
      </c>
      <c r="B39" s="497">
        <v>42385</v>
      </c>
      <c r="C39" s="498" t="s">
        <v>3205</v>
      </c>
      <c r="D39" s="499">
        <v>4</v>
      </c>
      <c r="E39" s="498" t="s">
        <v>3500</v>
      </c>
      <c r="F39" s="500">
        <v>5.3935185185185195E-4</v>
      </c>
      <c r="G39" s="498" t="s">
        <v>960</v>
      </c>
      <c r="H39" s="498"/>
      <c r="I39" s="498" t="s">
        <v>3746</v>
      </c>
      <c r="J39" s="502"/>
    </row>
    <row r="40" spans="1:10" s="251" customFormat="1" ht="12" customHeight="1" x14ac:dyDescent="0.15">
      <c r="A40" s="540" t="s">
        <v>3183</v>
      </c>
      <c r="B40" s="253">
        <v>42387</v>
      </c>
      <c r="C40" s="254" t="s">
        <v>86</v>
      </c>
      <c r="D40" s="255">
        <v>5</v>
      </c>
      <c r="E40" s="342" t="s">
        <v>3500</v>
      </c>
      <c r="F40" s="256">
        <v>7.2222222222222219E-4</v>
      </c>
      <c r="G40" s="254"/>
      <c r="H40" s="254"/>
      <c r="I40" s="257" t="s">
        <v>3896</v>
      </c>
      <c r="J40" s="258"/>
    </row>
    <row r="41" spans="1:10" s="251" customFormat="1" ht="12" customHeight="1" x14ac:dyDescent="0.15">
      <c r="A41" s="489" t="s">
        <v>3743</v>
      </c>
      <c r="B41" s="490">
        <v>42387</v>
      </c>
      <c r="C41" s="491" t="s">
        <v>86</v>
      </c>
      <c r="D41" s="492">
        <v>4</v>
      </c>
      <c r="E41" s="491" t="s">
        <v>3500</v>
      </c>
      <c r="F41" s="493">
        <v>5.5439814814814815E-4</v>
      </c>
      <c r="G41" s="491"/>
      <c r="H41" s="491"/>
      <c r="I41" s="494" t="s">
        <v>3897</v>
      </c>
      <c r="J41" s="495"/>
    </row>
    <row r="42" spans="1:10" s="251" customFormat="1" ht="12" customHeight="1" x14ac:dyDescent="0.15">
      <c r="A42" s="489" t="s">
        <v>2467</v>
      </c>
      <c r="B42" s="490">
        <v>42387</v>
      </c>
      <c r="C42" s="491" t="s">
        <v>2234</v>
      </c>
      <c r="D42" s="492">
        <v>4</v>
      </c>
      <c r="E42" s="491" t="s">
        <v>3500</v>
      </c>
      <c r="F42" s="493">
        <v>6.2025462962962967E-4</v>
      </c>
      <c r="G42" s="491"/>
      <c r="H42" s="491"/>
      <c r="I42" s="494" t="s">
        <v>3279</v>
      </c>
      <c r="J42" s="495"/>
    </row>
    <row r="43" spans="1:10" s="251" customFormat="1" ht="12" customHeight="1" x14ac:dyDescent="0.15">
      <c r="A43" s="489" t="s">
        <v>1667</v>
      </c>
      <c r="B43" s="490">
        <v>42388</v>
      </c>
      <c r="C43" s="491" t="s">
        <v>2006</v>
      </c>
      <c r="D43" s="492">
        <v>4</v>
      </c>
      <c r="E43" s="491" t="s">
        <v>3502</v>
      </c>
      <c r="F43" s="493">
        <v>6.3310185185185192E-4</v>
      </c>
      <c r="G43" s="491"/>
      <c r="H43" s="491"/>
      <c r="I43" s="494" t="s">
        <v>366</v>
      </c>
      <c r="J43" s="495" t="s">
        <v>3898</v>
      </c>
    </row>
    <row r="44" spans="1:10" s="251" customFormat="1" ht="12" customHeight="1" x14ac:dyDescent="0.15">
      <c r="A44" s="489" t="s">
        <v>3899</v>
      </c>
      <c r="B44" s="490">
        <v>42388</v>
      </c>
      <c r="C44" s="491" t="s">
        <v>1948</v>
      </c>
      <c r="D44" s="492">
        <v>3</v>
      </c>
      <c r="E44" s="491" t="s">
        <v>3500</v>
      </c>
      <c r="F44" s="493">
        <v>4.3865740740740736E-4</v>
      </c>
      <c r="G44" s="491"/>
      <c r="H44" s="491"/>
      <c r="I44" s="494" t="s">
        <v>3900</v>
      </c>
      <c r="J44" s="495" t="s">
        <v>2428</v>
      </c>
    </row>
    <row r="45" spans="1:10" s="251" customFormat="1" ht="12" customHeight="1" x14ac:dyDescent="0.15">
      <c r="A45" s="489" t="s">
        <v>1942</v>
      </c>
      <c r="B45" s="490">
        <v>42391</v>
      </c>
      <c r="C45" s="491" t="s">
        <v>1945</v>
      </c>
      <c r="D45" s="492">
        <v>3</v>
      </c>
      <c r="E45" s="491" t="s">
        <v>3500</v>
      </c>
      <c r="F45" s="493">
        <v>4.4907407407407401E-4</v>
      </c>
      <c r="G45" s="491"/>
      <c r="H45" s="491"/>
      <c r="I45" s="494" t="s">
        <v>2232</v>
      </c>
      <c r="J45" s="495" t="s">
        <v>3910</v>
      </c>
    </row>
    <row r="46" spans="1:10" s="251" customFormat="1" ht="12" customHeight="1" x14ac:dyDescent="0.15">
      <c r="A46" s="489" t="s">
        <v>2478</v>
      </c>
      <c r="B46" s="490">
        <v>42390</v>
      </c>
      <c r="C46" s="491" t="s">
        <v>1945</v>
      </c>
      <c r="D46" s="492">
        <v>4</v>
      </c>
      <c r="E46" s="491" t="s">
        <v>3500</v>
      </c>
      <c r="F46" s="493">
        <v>5.9027777777777778E-4</v>
      </c>
      <c r="G46" s="491"/>
      <c r="H46" s="491"/>
      <c r="I46" s="494" t="s">
        <v>3911</v>
      </c>
      <c r="J46" s="495"/>
    </row>
    <row r="47" spans="1:10" s="251" customFormat="1" ht="12" customHeight="1" x14ac:dyDescent="0.15">
      <c r="A47" s="489" t="s">
        <v>2480</v>
      </c>
      <c r="B47" s="490">
        <v>42389</v>
      </c>
      <c r="C47" s="491" t="s">
        <v>1948</v>
      </c>
      <c r="D47" s="492">
        <v>4</v>
      </c>
      <c r="E47" s="491" t="s">
        <v>3500</v>
      </c>
      <c r="F47" s="493">
        <v>5.6018518518518516E-4</v>
      </c>
      <c r="G47" s="491"/>
      <c r="H47" s="491"/>
      <c r="I47" s="494" t="s">
        <v>3912</v>
      </c>
      <c r="J47" s="495"/>
    </row>
    <row r="48" spans="1:10" s="252" customFormat="1" ht="12" customHeight="1" x14ac:dyDescent="0.15">
      <c r="A48" s="496" t="s">
        <v>2355</v>
      </c>
      <c r="B48" s="497">
        <v>42389</v>
      </c>
      <c r="C48" s="498" t="s">
        <v>3094</v>
      </c>
      <c r="D48" s="499">
        <v>5</v>
      </c>
      <c r="E48" s="498" t="s">
        <v>3500</v>
      </c>
      <c r="F48" s="500">
        <v>4.2361111111111106E-2</v>
      </c>
      <c r="G48" s="498"/>
      <c r="H48" s="498"/>
      <c r="I48" s="501" t="s">
        <v>3227</v>
      </c>
      <c r="J48" s="502"/>
    </row>
    <row r="49" spans="1:10" s="251" customFormat="1" ht="12" customHeight="1" x14ac:dyDescent="0.15">
      <c r="A49" s="489" t="s">
        <v>3694</v>
      </c>
      <c r="B49" s="490">
        <v>42391</v>
      </c>
      <c r="C49" s="491" t="s">
        <v>3193</v>
      </c>
      <c r="D49" s="492">
        <v>3</v>
      </c>
      <c r="E49" s="491" t="s">
        <v>3500</v>
      </c>
      <c r="F49" s="493">
        <v>4.3981481481481481E-4</v>
      </c>
      <c r="G49" s="491"/>
      <c r="H49" s="491"/>
      <c r="I49" s="494" t="s">
        <v>2479</v>
      </c>
      <c r="J49" s="495"/>
    </row>
    <row r="50" spans="1:10" s="251" customFormat="1" ht="12" customHeight="1" x14ac:dyDescent="0.15">
      <c r="A50" s="489" t="s">
        <v>2459</v>
      </c>
      <c r="B50" s="490">
        <v>42391</v>
      </c>
      <c r="C50" s="491" t="s">
        <v>3205</v>
      </c>
      <c r="D50" s="492">
        <v>4</v>
      </c>
      <c r="E50" s="491" t="s">
        <v>3500</v>
      </c>
      <c r="F50" s="493">
        <v>6.134259259259259E-4</v>
      </c>
      <c r="G50" s="491"/>
      <c r="H50" s="491"/>
      <c r="I50" s="494" t="s">
        <v>3914</v>
      </c>
      <c r="J50" s="495"/>
    </row>
    <row r="51" spans="1:10" s="251" customFormat="1" ht="12" customHeight="1" x14ac:dyDescent="0.15">
      <c r="A51" s="489" t="s">
        <v>58</v>
      </c>
      <c r="B51" s="490">
        <v>42391</v>
      </c>
      <c r="C51" s="491" t="s">
        <v>1947</v>
      </c>
      <c r="D51" s="492">
        <v>3</v>
      </c>
      <c r="E51" s="491" t="s">
        <v>3500</v>
      </c>
      <c r="F51" s="493">
        <v>4.4652777777777784E-4</v>
      </c>
      <c r="G51" s="491"/>
      <c r="H51" s="491"/>
      <c r="I51" s="494" t="s">
        <v>3921</v>
      </c>
      <c r="J51" s="495"/>
    </row>
    <row r="52" spans="1:10" s="251" customFormat="1" ht="12" customHeight="1" x14ac:dyDescent="0.15">
      <c r="A52" s="489" t="s">
        <v>3863</v>
      </c>
      <c r="B52" s="490">
        <v>42392</v>
      </c>
      <c r="C52" s="491" t="s">
        <v>3864</v>
      </c>
      <c r="D52" s="492">
        <v>5</v>
      </c>
      <c r="E52" s="491" t="s">
        <v>3500</v>
      </c>
      <c r="F52" s="493">
        <v>7.5462962962962973E-4</v>
      </c>
      <c r="G52" s="491"/>
      <c r="H52" s="491"/>
      <c r="I52" s="494" t="s">
        <v>3981</v>
      </c>
      <c r="J52" s="495"/>
    </row>
    <row r="53" spans="1:10" s="251" customFormat="1" ht="12" customHeight="1" x14ac:dyDescent="0.15">
      <c r="A53" s="489" t="s">
        <v>1965</v>
      </c>
      <c r="B53" s="490">
        <v>42393</v>
      </c>
      <c r="C53" s="491" t="s">
        <v>1955</v>
      </c>
      <c r="D53" s="492">
        <v>3</v>
      </c>
      <c r="E53" s="491" t="s">
        <v>3500</v>
      </c>
      <c r="F53" s="493">
        <v>4.3518518518518521E-4</v>
      </c>
      <c r="G53" s="491"/>
      <c r="H53" s="491"/>
      <c r="I53" s="494" t="s">
        <v>3928</v>
      </c>
      <c r="J53" s="495" t="s">
        <v>3929</v>
      </c>
    </row>
    <row r="54" spans="1:10" s="251" customFormat="1" ht="12" customHeight="1" thickBot="1" x14ac:dyDescent="0.2">
      <c r="A54" s="489" t="s">
        <v>2365</v>
      </c>
      <c r="B54" s="490">
        <v>42392</v>
      </c>
      <c r="C54" s="491" t="s">
        <v>3477</v>
      </c>
      <c r="D54" s="492">
        <v>3</v>
      </c>
      <c r="E54" s="491" t="s">
        <v>3501</v>
      </c>
      <c r="F54" s="493">
        <v>4.5023148148148152E-4</v>
      </c>
      <c r="G54" s="491"/>
      <c r="H54" s="491"/>
      <c r="I54" s="491" t="s">
        <v>3927</v>
      </c>
      <c r="J54" s="495"/>
    </row>
    <row r="55" spans="1:10" s="251" customFormat="1" ht="12" customHeight="1" x14ac:dyDescent="0.15">
      <c r="A55" s="540" t="s">
        <v>3183</v>
      </c>
      <c r="B55" s="253">
        <v>42399</v>
      </c>
      <c r="C55" s="254" t="s">
        <v>86</v>
      </c>
      <c r="D55" s="255">
        <v>5</v>
      </c>
      <c r="E55" s="342" t="s">
        <v>3500</v>
      </c>
      <c r="F55" s="256">
        <v>7.1990740740740739E-4</v>
      </c>
      <c r="G55" s="254"/>
      <c r="H55" s="254" t="s">
        <v>1249</v>
      </c>
      <c r="I55" s="257" t="s">
        <v>3972</v>
      </c>
      <c r="J55" s="258" t="s">
        <v>3322</v>
      </c>
    </row>
    <row r="56" spans="1:10" s="251" customFormat="1" ht="12" customHeight="1" x14ac:dyDescent="0.15">
      <c r="A56" s="489" t="s">
        <v>2176</v>
      </c>
      <c r="B56" s="490">
        <v>42399</v>
      </c>
      <c r="C56" s="491" t="s">
        <v>2315</v>
      </c>
      <c r="D56" s="492">
        <v>3</v>
      </c>
      <c r="E56" s="491" t="s">
        <v>3500</v>
      </c>
      <c r="F56" s="493">
        <v>4.299768518518518E-4</v>
      </c>
      <c r="G56" s="491"/>
      <c r="H56" s="491" t="s">
        <v>1249</v>
      </c>
      <c r="I56" s="494" t="s">
        <v>3974</v>
      </c>
      <c r="J56" s="495" t="s">
        <v>3973</v>
      </c>
    </row>
    <row r="57" spans="1:10" s="251" customFormat="1" ht="12" customHeight="1" x14ac:dyDescent="0.15">
      <c r="A57" s="489" t="s">
        <v>1943</v>
      </c>
      <c r="B57" s="490">
        <v>42399</v>
      </c>
      <c r="C57" s="491" t="s">
        <v>1955</v>
      </c>
      <c r="D57" s="492">
        <v>5</v>
      </c>
      <c r="E57" s="491" t="s">
        <v>3500</v>
      </c>
      <c r="F57" s="493">
        <v>7.2685185185185179E-4</v>
      </c>
      <c r="G57" s="491"/>
      <c r="H57" s="491"/>
      <c r="I57" s="494" t="s">
        <v>3975</v>
      </c>
      <c r="J57" s="495"/>
    </row>
    <row r="58" spans="1:10" s="251" customFormat="1" ht="12" customHeight="1" x14ac:dyDescent="0.15">
      <c r="A58" s="489" t="s">
        <v>2355</v>
      </c>
      <c r="B58" s="490">
        <v>42399</v>
      </c>
      <c r="C58" s="553" t="s">
        <v>3094</v>
      </c>
      <c r="D58" s="492">
        <v>3</v>
      </c>
      <c r="E58" s="491" t="s">
        <v>3500</v>
      </c>
      <c r="F58" s="493">
        <v>4.4444444444444441E-4</v>
      </c>
      <c r="G58" s="491"/>
      <c r="H58" s="491"/>
      <c r="I58" s="494" t="s">
        <v>3976</v>
      </c>
      <c r="J58" s="495"/>
    </row>
    <row r="59" spans="1:10" s="252" customFormat="1" ht="12" customHeight="1" x14ac:dyDescent="0.15">
      <c r="A59" s="496" t="s">
        <v>36</v>
      </c>
      <c r="B59" s="497">
        <v>42398</v>
      </c>
      <c r="C59" s="498" t="s">
        <v>3876</v>
      </c>
      <c r="D59" s="499">
        <v>5</v>
      </c>
      <c r="E59" s="498" t="s">
        <v>3500</v>
      </c>
      <c r="F59" s="500">
        <v>7.1064814814814819E-4</v>
      </c>
      <c r="G59" s="498"/>
      <c r="H59" s="498"/>
      <c r="I59" s="501" t="s">
        <v>3977</v>
      </c>
      <c r="J59" s="502"/>
    </row>
    <row r="60" spans="1:10" s="252" customFormat="1" ht="12" customHeight="1" x14ac:dyDescent="0.15">
      <c r="A60" s="496" t="s">
        <v>1557</v>
      </c>
      <c r="B60" s="497">
        <v>42398</v>
      </c>
      <c r="C60" s="498" t="s">
        <v>3978</v>
      </c>
      <c r="D60" s="499">
        <v>3</v>
      </c>
      <c r="E60" s="498" t="s">
        <v>3500</v>
      </c>
      <c r="F60" s="500">
        <v>4.2824074074074075E-4</v>
      </c>
      <c r="G60" s="498"/>
      <c r="H60" s="498"/>
      <c r="I60" s="501" t="s">
        <v>3979</v>
      </c>
      <c r="J60" s="502"/>
    </row>
    <row r="61" spans="1:10" s="251" customFormat="1" ht="11" customHeight="1" x14ac:dyDescent="0.15">
      <c r="A61" s="489" t="s">
        <v>2177</v>
      </c>
      <c r="B61" s="490">
        <v>42398</v>
      </c>
      <c r="C61" s="491" t="s">
        <v>3286</v>
      </c>
      <c r="D61" s="492">
        <v>5</v>
      </c>
      <c r="E61" s="491" t="s">
        <v>3500</v>
      </c>
      <c r="F61" s="493">
        <v>7.1064814814814819E-4</v>
      </c>
      <c r="G61" s="491"/>
      <c r="H61" s="491"/>
      <c r="I61" s="494" t="s">
        <v>3980</v>
      </c>
      <c r="J61" s="495"/>
    </row>
    <row r="62" spans="1:10" s="252" customFormat="1" ht="12" customHeight="1" x14ac:dyDescent="0.15">
      <c r="A62" s="496" t="s">
        <v>2459</v>
      </c>
      <c r="B62" s="497">
        <v>42398</v>
      </c>
      <c r="C62" s="498" t="s">
        <v>3205</v>
      </c>
      <c r="D62" s="499">
        <v>4</v>
      </c>
      <c r="E62" s="498" t="s">
        <v>3500</v>
      </c>
      <c r="F62" s="500">
        <v>5.5787037037037036E-4</v>
      </c>
      <c r="G62" s="498"/>
      <c r="H62" s="498"/>
      <c r="I62" s="501" t="s">
        <v>3268</v>
      </c>
      <c r="J62" s="502"/>
    </row>
    <row r="63" spans="1:10" s="252" customFormat="1" ht="12" customHeight="1" x14ac:dyDescent="0.15">
      <c r="A63" s="496" t="s">
        <v>3743</v>
      </c>
      <c r="B63" s="497">
        <v>42394</v>
      </c>
      <c r="C63" s="498" t="s">
        <v>86</v>
      </c>
      <c r="D63" s="499">
        <v>5</v>
      </c>
      <c r="E63" s="498" t="s">
        <v>3500</v>
      </c>
      <c r="F63" s="500">
        <v>7.0254629629629627E-4</v>
      </c>
      <c r="G63" s="498"/>
      <c r="H63" s="498"/>
      <c r="I63" s="554" t="s">
        <v>3982</v>
      </c>
      <c r="J63" s="502"/>
    </row>
    <row r="64" spans="1:10" s="251" customFormat="1" ht="12" customHeight="1" x14ac:dyDescent="0.15">
      <c r="A64" s="489" t="s">
        <v>1965</v>
      </c>
      <c r="B64" s="490">
        <v>42400</v>
      </c>
      <c r="C64" s="491" t="s">
        <v>1955</v>
      </c>
      <c r="D64" s="492">
        <v>4</v>
      </c>
      <c r="E64" s="491" t="s">
        <v>3500</v>
      </c>
      <c r="F64" s="493">
        <v>6.2037037037037041E-4</v>
      </c>
      <c r="G64" s="491"/>
      <c r="H64" s="491"/>
      <c r="I64" s="494" t="s">
        <v>3984</v>
      </c>
      <c r="J64" s="495"/>
    </row>
    <row r="65" spans="1:10" s="252" customFormat="1" ht="12" customHeight="1" x14ac:dyDescent="0.15">
      <c r="A65" s="496" t="s">
        <v>3743</v>
      </c>
      <c r="B65" s="497">
        <v>42400</v>
      </c>
      <c r="C65" s="498" t="s">
        <v>86</v>
      </c>
      <c r="D65" s="499">
        <v>5</v>
      </c>
      <c r="E65" s="498" t="s">
        <v>3500</v>
      </c>
      <c r="F65" s="500">
        <v>6.8634259259259256E-4</v>
      </c>
      <c r="G65" s="498"/>
      <c r="H65" s="498"/>
      <c r="I65" s="501" t="s">
        <v>3979</v>
      </c>
      <c r="J65" s="502"/>
    </row>
    <row r="66" spans="1:10" s="251" customFormat="1" ht="12" customHeight="1" x14ac:dyDescent="0.15">
      <c r="A66" s="489" t="s">
        <v>3203</v>
      </c>
      <c r="B66" s="490">
        <v>42400</v>
      </c>
      <c r="C66" s="491" t="s">
        <v>1948</v>
      </c>
      <c r="D66" s="492">
        <v>3</v>
      </c>
      <c r="E66" s="491" t="s">
        <v>3500</v>
      </c>
      <c r="F66" s="493">
        <v>4.2662037037037034E-4</v>
      </c>
      <c r="G66" s="491"/>
      <c r="H66" s="491"/>
      <c r="I66" s="494" t="s">
        <v>3985</v>
      </c>
      <c r="J66" s="495"/>
    </row>
    <row r="67" spans="1:10" s="251" customFormat="1" ht="12" customHeight="1" x14ac:dyDescent="0.15">
      <c r="A67" s="489" t="s">
        <v>3899</v>
      </c>
      <c r="B67" s="490">
        <v>42400</v>
      </c>
      <c r="C67" s="491" t="s">
        <v>1948</v>
      </c>
      <c r="D67" s="492">
        <v>4</v>
      </c>
      <c r="E67" s="491" t="s">
        <v>3500</v>
      </c>
      <c r="F67" s="493">
        <v>5.6122685185185193E-4</v>
      </c>
      <c r="G67" s="491"/>
      <c r="H67" s="491" t="s">
        <v>1249</v>
      </c>
      <c r="I67" s="494" t="s">
        <v>3986</v>
      </c>
      <c r="J67" s="495" t="s">
        <v>2310</v>
      </c>
    </row>
    <row r="68" spans="1:10" s="251" customFormat="1" ht="12" customHeight="1" x14ac:dyDescent="0.15">
      <c r="A68" s="489" t="s">
        <v>1897</v>
      </c>
      <c r="B68" s="490">
        <v>42400</v>
      </c>
      <c r="C68" s="491" t="s">
        <v>1948</v>
      </c>
      <c r="D68" s="492">
        <v>4</v>
      </c>
      <c r="E68" s="491" t="s">
        <v>3500</v>
      </c>
      <c r="F68" s="493">
        <v>6.0196759259259264E-4</v>
      </c>
      <c r="G68" s="491"/>
      <c r="H68" s="491"/>
      <c r="I68" s="494" t="s">
        <v>3987</v>
      </c>
      <c r="J68" s="495"/>
    </row>
    <row r="69" spans="1:10" s="251" customFormat="1" ht="12" customHeight="1" thickBot="1" x14ac:dyDescent="0.2">
      <c r="A69" s="489" t="s">
        <v>1667</v>
      </c>
      <c r="B69" s="490">
        <v>42400</v>
      </c>
      <c r="C69" s="491" t="s">
        <v>2006</v>
      </c>
      <c r="D69" s="492">
        <v>2</v>
      </c>
      <c r="E69" s="491" t="s">
        <v>3500</v>
      </c>
      <c r="F69" s="493">
        <v>2.6041666666666666E-4</v>
      </c>
      <c r="G69" s="491"/>
      <c r="H69" s="491"/>
      <c r="I69" s="491" t="s">
        <v>366</v>
      </c>
      <c r="J69" s="495"/>
    </row>
    <row r="70" spans="1:10" s="251" customFormat="1" ht="12" customHeight="1" x14ac:dyDescent="0.15">
      <c r="A70" s="540" t="s">
        <v>1942</v>
      </c>
      <c r="B70" s="253">
        <v>42402</v>
      </c>
      <c r="C70" s="254" t="s">
        <v>1945</v>
      </c>
      <c r="D70" s="255">
        <v>4</v>
      </c>
      <c r="E70" s="342" t="s">
        <v>3500</v>
      </c>
      <c r="F70" s="256">
        <v>5.7638888888888887E-4</v>
      </c>
      <c r="G70" s="254"/>
      <c r="H70" s="254" t="s">
        <v>1249</v>
      </c>
      <c r="I70" s="257" t="s">
        <v>3998</v>
      </c>
      <c r="J70" s="258" t="s">
        <v>3322</v>
      </c>
    </row>
    <row r="71" spans="1:10" s="251" customFormat="1" ht="12" customHeight="1" x14ac:dyDescent="0.15">
      <c r="A71" s="489" t="s">
        <v>58</v>
      </c>
      <c r="B71" s="490">
        <v>42402</v>
      </c>
      <c r="C71" s="491" t="s">
        <v>1947</v>
      </c>
      <c r="D71" s="492">
        <v>5</v>
      </c>
      <c r="E71" s="491" t="s">
        <v>3500</v>
      </c>
      <c r="F71" s="493">
        <v>7.0428240740740737E-4</v>
      </c>
      <c r="G71" s="491"/>
      <c r="H71" s="491"/>
      <c r="I71" s="494" t="s">
        <v>3999</v>
      </c>
      <c r="J71" s="495"/>
    </row>
    <row r="72" spans="1:10" s="251" customFormat="1" ht="12" customHeight="1" x14ac:dyDescent="0.15">
      <c r="A72" s="489" t="s">
        <v>2278</v>
      </c>
      <c r="B72" s="490">
        <v>42402</v>
      </c>
      <c r="C72" s="491" t="s">
        <v>4000</v>
      </c>
      <c r="D72" s="492">
        <v>3</v>
      </c>
      <c r="E72" s="491" t="s">
        <v>3500</v>
      </c>
      <c r="F72" s="493">
        <v>4.3981481481481481E-4</v>
      </c>
      <c r="G72" s="491" t="s">
        <v>961</v>
      </c>
      <c r="H72" s="491"/>
      <c r="I72" s="494" t="s">
        <v>2436</v>
      </c>
      <c r="J72" s="495" t="s">
        <v>4001</v>
      </c>
    </row>
    <row r="73" spans="1:10" s="251" customFormat="1" ht="12" customHeight="1" x14ac:dyDescent="0.15">
      <c r="A73" s="489" t="s">
        <v>2365</v>
      </c>
      <c r="B73" s="490">
        <v>42402</v>
      </c>
      <c r="C73" s="491" t="s">
        <v>3477</v>
      </c>
      <c r="D73" s="492">
        <v>3</v>
      </c>
      <c r="E73" s="491" t="s">
        <v>3501</v>
      </c>
      <c r="F73" s="493">
        <v>4.236111111111111E-4</v>
      </c>
      <c r="G73" s="491"/>
      <c r="H73" s="491"/>
      <c r="I73" s="494" t="s">
        <v>4025</v>
      </c>
      <c r="J73" s="495"/>
    </row>
    <row r="74" spans="1:10" s="251" customFormat="1" ht="12" customHeight="1" x14ac:dyDescent="0.15">
      <c r="A74" s="489" t="s">
        <v>1558</v>
      </c>
      <c r="B74" s="490">
        <v>42403</v>
      </c>
      <c r="C74" s="491" t="s">
        <v>86</v>
      </c>
      <c r="D74" s="492">
        <v>3</v>
      </c>
      <c r="E74" s="491" t="s">
        <v>3500</v>
      </c>
      <c r="F74" s="493">
        <v>4.4212962962962961E-4</v>
      </c>
      <c r="G74" s="491"/>
      <c r="H74" s="491"/>
      <c r="I74" s="494" t="s">
        <v>3208</v>
      </c>
      <c r="J74" s="495" t="s">
        <v>4026</v>
      </c>
    </row>
    <row r="75" spans="1:10" s="251" customFormat="1" ht="12" customHeight="1" x14ac:dyDescent="0.15">
      <c r="A75" s="489" t="s">
        <v>3863</v>
      </c>
      <c r="B75" s="490">
        <v>42405</v>
      </c>
      <c r="C75" s="491" t="s">
        <v>3864</v>
      </c>
      <c r="D75" s="492">
        <v>5</v>
      </c>
      <c r="E75" s="491" t="s">
        <v>3500</v>
      </c>
      <c r="F75" s="493">
        <v>7.1527777777777779E-4</v>
      </c>
      <c r="G75" s="491"/>
      <c r="H75" s="491"/>
      <c r="I75" s="494" t="s">
        <v>4098</v>
      </c>
      <c r="J75" s="495"/>
    </row>
    <row r="76" spans="1:10" s="252" customFormat="1" ht="12" customHeight="1" x14ac:dyDescent="0.15">
      <c r="A76" s="496" t="s">
        <v>1295</v>
      </c>
      <c r="B76" s="497">
        <v>42406</v>
      </c>
      <c r="C76" s="498" t="s">
        <v>1945</v>
      </c>
      <c r="D76" s="499">
        <v>5</v>
      </c>
      <c r="E76" s="498" t="s">
        <v>3500</v>
      </c>
      <c r="F76" s="500">
        <v>7.0138888888888887E-4</v>
      </c>
      <c r="G76" s="498"/>
      <c r="H76" s="498"/>
      <c r="I76" s="501" t="s">
        <v>4039</v>
      </c>
      <c r="J76" s="502" t="s">
        <v>4040</v>
      </c>
    </row>
    <row r="77" spans="1:10" s="251" customFormat="1" ht="12" customHeight="1" x14ac:dyDescent="0.15">
      <c r="A77" s="489" t="s">
        <v>2401</v>
      </c>
      <c r="B77" s="490">
        <v>42406</v>
      </c>
      <c r="C77" s="491" t="s">
        <v>1952</v>
      </c>
      <c r="D77" s="492">
        <v>4</v>
      </c>
      <c r="E77" s="491" t="s">
        <v>3500</v>
      </c>
      <c r="F77" s="493">
        <v>5.7175925925925927E-4</v>
      </c>
      <c r="G77" s="491"/>
      <c r="H77" s="491"/>
      <c r="I77" s="494" t="s">
        <v>4041</v>
      </c>
      <c r="J77" s="495"/>
    </row>
    <row r="78" spans="1:10" s="251" customFormat="1" ht="12" customHeight="1" x14ac:dyDescent="0.15">
      <c r="A78" s="489" t="s">
        <v>122</v>
      </c>
      <c r="B78" s="490">
        <v>42406</v>
      </c>
      <c r="C78" s="491" t="s">
        <v>1952</v>
      </c>
      <c r="D78" s="492">
        <v>4</v>
      </c>
      <c r="E78" s="491" t="s">
        <v>3500</v>
      </c>
      <c r="F78" s="493">
        <v>5.8564814814814818E-4</v>
      </c>
      <c r="G78" s="491"/>
      <c r="H78" s="491"/>
      <c r="I78" s="494" t="s">
        <v>4042</v>
      </c>
      <c r="J78" s="495" t="s">
        <v>4043</v>
      </c>
    </row>
    <row r="79" spans="1:10" s="251" customFormat="1" ht="12" customHeight="1" x14ac:dyDescent="0.15">
      <c r="A79" s="489" t="s">
        <v>2176</v>
      </c>
      <c r="B79" s="490">
        <v>42406</v>
      </c>
      <c r="C79" s="491" t="s">
        <v>2315</v>
      </c>
      <c r="D79" s="492">
        <v>3</v>
      </c>
      <c r="E79" s="491" t="s">
        <v>3501</v>
      </c>
      <c r="F79" s="493">
        <v>4.2939814814814821E-4</v>
      </c>
      <c r="G79" s="491"/>
      <c r="H79" s="491" t="s">
        <v>1249</v>
      </c>
      <c r="I79" s="494" t="s">
        <v>4044</v>
      </c>
      <c r="J79" s="495" t="s">
        <v>3322</v>
      </c>
    </row>
    <row r="80" spans="1:10" s="251" customFormat="1" ht="12" customHeight="1" x14ac:dyDescent="0.15">
      <c r="A80" s="489" t="s">
        <v>1816</v>
      </c>
      <c r="B80" s="490">
        <v>42406</v>
      </c>
      <c r="C80" s="491" t="s">
        <v>86</v>
      </c>
      <c r="D80" s="492">
        <v>5</v>
      </c>
      <c r="E80" s="491" t="s">
        <v>3500</v>
      </c>
      <c r="F80" s="493">
        <v>7.0891203703703698E-4</v>
      </c>
      <c r="G80" s="491"/>
      <c r="H80" s="491"/>
      <c r="I80" s="494" t="s">
        <v>4046</v>
      </c>
      <c r="J80" s="495" t="s">
        <v>4047</v>
      </c>
    </row>
    <row r="81" spans="1:10" s="251" customFormat="1" ht="12" customHeight="1" x14ac:dyDescent="0.15">
      <c r="A81" s="489" t="s">
        <v>4048</v>
      </c>
      <c r="B81" s="490">
        <v>42406</v>
      </c>
      <c r="C81" s="491" t="s">
        <v>86</v>
      </c>
      <c r="D81" s="492">
        <v>4</v>
      </c>
      <c r="E81" s="491" t="s">
        <v>3500</v>
      </c>
      <c r="F81" s="493">
        <v>5.6539351851851857E-4</v>
      </c>
      <c r="G81" s="491"/>
      <c r="H81" s="491"/>
      <c r="I81" s="494" t="s">
        <v>4049</v>
      </c>
      <c r="J81" s="495" t="s">
        <v>4050</v>
      </c>
    </row>
    <row r="82" spans="1:10" s="251" customFormat="1" ht="12" customHeight="1" x14ac:dyDescent="0.15">
      <c r="A82" s="489" t="s">
        <v>1670</v>
      </c>
      <c r="B82" s="490">
        <v>42406</v>
      </c>
      <c r="C82" s="491" t="s">
        <v>4052</v>
      </c>
      <c r="D82" s="492">
        <v>3</v>
      </c>
      <c r="E82" s="491" t="s">
        <v>3500</v>
      </c>
      <c r="F82" s="493">
        <v>4.1898148148148155E-4</v>
      </c>
      <c r="G82" s="491"/>
      <c r="H82" s="491"/>
      <c r="I82" s="503" t="s">
        <v>4059</v>
      </c>
      <c r="J82" s="495" t="s">
        <v>4051</v>
      </c>
    </row>
    <row r="83" spans="1:10" s="251" customFormat="1" ht="12" customHeight="1" x14ac:dyDescent="0.15">
      <c r="A83" s="489" t="s">
        <v>3840</v>
      </c>
      <c r="B83" s="490">
        <v>42407</v>
      </c>
      <c r="C83" s="491" t="s">
        <v>1945</v>
      </c>
      <c r="D83" s="492">
        <v>4</v>
      </c>
      <c r="E83" s="491" t="s">
        <v>3500</v>
      </c>
      <c r="F83" s="493">
        <v>5.7638888888888887E-4</v>
      </c>
      <c r="G83" s="491"/>
      <c r="H83" s="491"/>
      <c r="I83" s="494" t="s">
        <v>3972</v>
      </c>
      <c r="J83" s="495"/>
    </row>
    <row r="84" spans="1:10" s="251" customFormat="1" ht="12" customHeight="1" x14ac:dyDescent="0.15">
      <c r="A84" s="489" t="s">
        <v>2355</v>
      </c>
      <c r="B84" s="490">
        <v>42407</v>
      </c>
      <c r="C84" s="491" t="s">
        <v>3094</v>
      </c>
      <c r="D84" s="492">
        <v>4</v>
      </c>
      <c r="E84" s="491" t="s">
        <v>3500</v>
      </c>
      <c r="F84" s="493">
        <v>5.6712962962962956E-4</v>
      </c>
      <c r="G84" s="491"/>
      <c r="H84" s="491"/>
      <c r="I84" s="494" t="s">
        <v>4053</v>
      </c>
      <c r="J84" s="495"/>
    </row>
    <row r="85" spans="1:10" s="251" customFormat="1" ht="12" customHeight="1" x14ac:dyDescent="0.15">
      <c r="A85" s="489" t="s">
        <v>1965</v>
      </c>
      <c r="B85" s="490">
        <v>42407</v>
      </c>
      <c r="C85" s="491" t="s">
        <v>1955</v>
      </c>
      <c r="D85" s="492">
        <v>4</v>
      </c>
      <c r="E85" s="491" t="s">
        <v>3500</v>
      </c>
      <c r="F85" s="493">
        <v>5.9259259259259258E-4</v>
      </c>
      <c r="G85" s="491"/>
      <c r="H85" s="491"/>
      <c r="I85" s="494" t="s">
        <v>4054</v>
      </c>
      <c r="J85" s="495"/>
    </row>
    <row r="86" spans="1:10" s="251" customFormat="1" ht="12" customHeight="1" x14ac:dyDescent="0.15">
      <c r="A86" s="489" t="s">
        <v>36</v>
      </c>
      <c r="B86" s="490">
        <v>42407</v>
      </c>
      <c r="C86" s="491" t="s">
        <v>1952</v>
      </c>
      <c r="D86" s="492">
        <v>4</v>
      </c>
      <c r="E86" s="491" t="s">
        <v>3500</v>
      </c>
      <c r="F86" s="493">
        <v>5.5555555555555556E-4</v>
      </c>
      <c r="G86" s="491"/>
      <c r="H86" s="491"/>
      <c r="I86" s="494" t="s">
        <v>4055</v>
      </c>
      <c r="J86" s="495" t="s">
        <v>2383</v>
      </c>
    </row>
    <row r="87" spans="1:10" s="251" customFormat="1" ht="12" customHeight="1" thickBot="1" x14ac:dyDescent="0.2">
      <c r="A87" s="489" t="s">
        <v>1529</v>
      </c>
      <c r="B87" s="490">
        <v>42407</v>
      </c>
      <c r="C87" s="491" t="s">
        <v>2234</v>
      </c>
      <c r="D87" s="492">
        <v>5</v>
      </c>
      <c r="E87" s="491" t="s">
        <v>3500</v>
      </c>
      <c r="F87" s="493">
        <v>7.0902777777777772E-4</v>
      </c>
      <c r="G87" s="491"/>
      <c r="H87" s="491"/>
      <c r="I87" s="491" t="s">
        <v>4058</v>
      </c>
      <c r="J87" s="495" t="s">
        <v>2383</v>
      </c>
    </row>
    <row r="88" spans="1:10" s="251" customFormat="1" ht="12" customHeight="1" x14ac:dyDescent="0.15">
      <c r="A88" s="540" t="s">
        <v>1897</v>
      </c>
      <c r="B88" s="253">
        <v>42408</v>
      </c>
      <c r="C88" s="254" t="s">
        <v>1948</v>
      </c>
      <c r="D88" s="255">
        <v>4</v>
      </c>
      <c r="E88" s="342" t="s">
        <v>3500</v>
      </c>
      <c r="F88" s="256">
        <v>6.0509259259259262E-4</v>
      </c>
      <c r="G88" s="254"/>
      <c r="H88" s="254"/>
      <c r="I88" s="257" t="s">
        <v>4060</v>
      </c>
      <c r="J88" s="258"/>
    </row>
    <row r="89" spans="1:10" s="251" customFormat="1" ht="12" customHeight="1" x14ac:dyDescent="0.15">
      <c r="A89" s="489" t="s">
        <v>3203</v>
      </c>
      <c r="B89" s="490">
        <v>42408</v>
      </c>
      <c r="C89" s="491" t="s">
        <v>1948</v>
      </c>
      <c r="D89" s="492">
        <v>3</v>
      </c>
      <c r="E89" s="491" t="s">
        <v>3500</v>
      </c>
      <c r="F89" s="493">
        <v>4.2858796296296292E-4</v>
      </c>
      <c r="G89" s="491"/>
      <c r="H89" s="491"/>
      <c r="I89" s="494" t="s">
        <v>4061</v>
      </c>
      <c r="J89" s="495"/>
    </row>
    <row r="90" spans="1:10" s="251" customFormat="1" ht="12" customHeight="1" x14ac:dyDescent="0.15">
      <c r="A90" s="489" t="s">
        <v>3899</v>
      </c>
      <c r="B90" s="490">
        <v>42410</v>
      </c>
      <c r="C90" s="491" t="s">
        <v>1948</v>
      </c>
      <c r="D90" s="492">
        <v>4</v>
      </c>
      <c r="E90" s="491" t="s">
        <v>3500</v>
      </c>
      <c r="F90" s="493">
        <v>5.7581018518518517E-4</v>
      </c>
      <c r="G90" s="491"/>
      <c r="H90" s="491"/>
      <c r="I90" s="494" t="s">
        <v>4102</v>
      </c>
      <c r="J90" s="495"/>
    </row>
    <row r="91" spans="1:10" s="252" customFormat="1" ht="12" customHeight="1" x14ac:dyDescent="0.15">
      <c r="A91" s="496" t="s">
        <v>3263</v>
      </c>
      <c r="B91" s="497">
        <v>42410</v>
      </c>
      <c r="C91" s="498" t="s">
        <v>3193</v>
      </c>
      <c r="D91" s="499">
        <v>3</v>
      </c>
      <c r="E91" s="498" t="s">
        <v>3500</v>
      </c>
      <c r="F91" s="500">
        <v>4.1898148148148155E-4</v>
      </c>
      <c r="G91" s="498"/>
      <c r="H91" s="498"/>
      <c r="I91" s="501" t="s">
        <v>4083</v>
      </c>
      <c r="J91" s="502"/>
    </row>
    <row r="92" spans="1:10" s="251" customFormat="1" ht="12" customHeight="1" x14ac:dyDescent="0.15">
      <c r="A92" s="489" t="s">
        <v>2164</v>
      </c>
      <c r="B92" s="490">
        <v>42411</v>
      </c>
      <c r="C92" s="491" t="s">
        <v>2315</v>
      </c>
      <c r="D92" s="492">
        <v>3</v>
      </c>
      <c r="E92" s="491" t="s">
        <v>3500</v>
      </c>
      <c r="F92" s="493">
        <v>4.212962962962963E-4</v>
      </c>
      <c r="G92" s="491"/>
      <c r="H92" s="491"/>
      <c r="I92" s="494" t="s">
        <v>4097</v>
      </c>
      <c r="J92" s="495"/>
    </row>
    <row r="93" spans="1:10" s="251" customFormat="1" ht="12" customHeight="1" x14ac:dyDescent="0.15">
      <c r="A93" s="489" t="s">
        <v>1558</v>
      </c>
      <c r="B93" s="490">
        <v>42411</v>
      </c>
      <c r="C93" s="491" t="s">
        <v>86</v>
      </c>
      <c r="D93" s="492">
        <v>4</v>
      </c>
      <c r="E93" s="491" t="s">
        <v>3500</v>
      </c>
      <c r="F93" s="493">
        <v>5.6712962962962956E-4</v>
      </c>
      <c r="G93" s="491"/>
      <c r="H93" s="491"/>
      <c r="I93" s="494" t="s">
        <v>3287</v>
      </c>
      <c r="J93" s="495"/>
    </row>
    <row r="94" spans="1:10" s="251" customFormat="1" ht="12" customHeight="1" x14ac:dyDescent="0.15">
      <c r="A94" s="489" t="s">
        <v>4099</v>
      </c>
      <c r="B94" s="490">
        <v>42410</v>
      </c>
      <c r="C94" s="491" t="s">
        <v>4100</v>
      </c>
      <c r="D94" s="492">
        <v>4</v>
      </c>
      <c r="E94" s="491" t="s">
        <v>3501</v>
      </c>
      <c r="F94" s="493">
        <v>5.5787037037037036E-4</v>
      </c>
      <c r="G94" s="491"/>
      <c r="H94" s="491"/>
      <c r="I94" s="494" t="s">
        <v>4101</v>
      </c>
      <c r="J94" s="495"/>
    </row>
    <row r="95" spans="1:10" s="251" customFormat="1" ht="12" customHeight="1" x14ac:dyDescent="0.15">
      <c r="A95" s="489" t="s">
        <v>1557</v>
      </c>
      <c r="B95" s="490">
        <v>42412</v>
      </c>
      <c r="C95" s="491" t="s">
        <v>3978</v>
      </c>
      <c r="D95" s="492">
        <v>4</v>
      </c>
      <c r="E95" s="491" t="s">
        <v>3500</v>
      </c>
      <c r="F95" s="493">
        <v>5.7870370370370378E-4</v>
      </c>
      <c r="G95" s="491"/>
      <c r="H95" s="491"/>
      <c r="I95" s="494" t="s">
        <v>4120</v>
      </c>
      <c r="J95" s="495"/>
    </row>
    <row r="96" spans="1:10" s="252" customFormat="1" ht="12" customHeight="1" x14ac:dyDescent="0.15">
      <c r="A96" s="496" t="s">
        <v>3204</v>
      </c>
      <c r="B96" s="497">
        <v>42413</v>
      </c>
      <c r="C96" s="498" t="s">
        <v>2293</v>
      </c>
      <c r="D96" s="499">
        <v>4</v>
      </c>
      <c r="E96" s="498" t="s">
        <v>3500</v>
      </c>
      <c r="F96" s="500">
        <v>5.7870370370370378E-4</v>
      </c>
      <c r="G96" s="498"/>
      <c r="H96" s="498"/>
      <c r="I96" s="501" t="s">
        <v>3260</v>
      </c>
      <c r="J96" s="502"/>
    </row>
    <row r="97" spans="1:10" s="251" customFormat="1" ht="12" customHeight="1" thickBot="1" x14ac:dyDescent="0.2">
      <c r="A97" s="489" t="s">
        <v>4121</v>
      </c>
      <c r="B97" s="490">
        <v>42413</v>
      </c>
      <c r="C97" s="491" t="s">
        <v>86</v>
      </c>
      <c r="D97" s="492">
        <v>5</v>
      </c>
      <c r="E97" s="491" t="s">
        <v>3500</v>
      </c>
      <c r="F97" s="493">
        <v>7.175925925925927E-4</v>
      </c>
      <c r="G97" s="491"/>
      <c r="H97" s="491"/>
      <c r="I97" s="491" t="s">
        <v>4122</v>
      </c>
      <c r="J97" s="495" t="s">
        <v>4123</v>
      </c>
    </row>
    <row r="98" spans="1:10" s="251" customFormat="1" ht="12" customHeight="1" x14ac:dyDescent="0.15">
      <c r="A98" s="540" t="s">
        <v>1670</v>
      </c>
      <c r="B98" s="253">
        <v>42415</v>
      </c>
      <c r="C98" s="254" t="s">
        <v>4052</v>
      </c>
      <c r="D98" s="255">
        <v>4</v>
      </c>
      <c r="E98" s="342" t="s">
        <v>3500</v>
      </c>
      <c r="F98" s="256">
        <v>6.134259259259259E-4</v>
      </c>
      <c r="G98" s="254"/>
      <c r="H98" s="254"/>
      <c r="I98" s="257" t="s">
        <v>2232</v>
      </c>
      <c r="J98" s="258"/>
    </row>
    <row r="99" spans="1:10" s="251" customFormat="1" ht="12" customHeight="1" x14ac:dyDescent="0.15">
      <c r="A99" s="489" t="s">
        <v>42</v>
      </c>
      <c r="B99" s="490">
        <v>42416</v>
      </c>
      <c r="C99" s="491" t="s">
        <v>4125</v>
      </c>
      <c r="D99" s="492">
        <v>5</v>
      </c>
      <c r="E99" s="491" t="s">
        <v>3500</v>
      </c>
      <c r="F99" s="493">
        <v>7.5925925925925911E-4</v>
      </c>
      <c r="G99" s="491"/>
      <c r="H99" s="491"/>
      <c r="I99" s="494" t="s">
        <v>2232</v>
      </c>
      <c r="J99" s="495"/>
    </row>
    <row r="100" spans="1:10" s="251" customFormat="1" ht="12" customHeight="1" x14ac:dyDescent="0.15">
      <c r="A100" s="489" t="s">
        <v>122</v>
      </c>
      <c r="B100" s="490">
        <v>42416</v>
      </c>
      <c r="C100" s="491" t="s">
        <v>1952</v>
      </c>
      <c r="D100" s="492">
        <v>4</v>
      </c>
      <c r="E100" s="491" t="s">
        <v>3500</v>
      </c>
      <c r="F100" s="493">
        <v>5.6712962962962956E-4</v>
      </c>
      <c r="G100" s="491"/>
      <c r="H100" s="491"/>
      <c r="I100" s="494" t="s">
        <v>4126</v>
      </c>
      <c r="J100" s="495"/>
    </row>
    <row r="101" spans="1:10" s="251" customFormat="1" ht="12" customHeight="1" x14ac:dyDescent="0.15">
      <c r="A101" s="489" t="s">
        <v>2278</v>
      </c>
      <c r="B101" s="490">
        <v>42418</v>
      </c>
      <c r="C101" s="491" t="s">
        <v>4000</v>
      </c>
      <c r="D101" s="492">
        <v>3</v>
      </c>
      <c r="E101" s="491" t="s">
        <v>3500</v>
      </c>
      <c r="F101" s="493">
        <v>4.2939814814814821E-4</v>
      </c>
      <c r="G101" s="491" t="s">
        <v>961</v>
      </c>
      <c r="H101" s="491"/>
      <c r="I101" s="494" t="s">
        <v>4144</v>
      </c>
      <c r="J101" s="495" t="s">
        <v>2383</v>
      </c>
    </row>
    <row r="102" spans="1:10" s="251" customFormat="1" ht="12" customHeight="1" x14ac:dyDescent="0.15">
      <c r="A102" s="489" t="s">
        <v>4121</v>
      </c>
      <c r="B102" s="490">
        <v>42419</v>
      </c>
      <c r="C102" s="491" t="s">
        <v>86</v>
      </c>
      <c r="D102" s="492">
        <v>5</v>
      </c>
      <c r="E102" s="491" t="s">
        <v>3500</v>
      </c>
      <c r="F102" s="493">
        <v>7.1122685185185189E-4</v>
      </c>
      <c r="G102" s="491"/>
      <c r="H102" s="491"/>
      <c r="I102" s="494" t="s">
        <v>3980</v>
      </c>
      <c r="J102" s="495"/>
    </row>
    <row r="103" spans="1:10" s="251" customFormat="1" ht="12" customHeight="1" x14ac:dyDescent="0.15">
      <c r="A103" s="489" t="s">
        <v>3899</v>
      </c>
      <c r="B103" s="490">
        <v>42419</v>
      </c>
      <c r="C103" s="491" t="s">
        <v>1948</v>
      </c>
      <c r="D103" s="492">
        <v>4</v>
      </c>
      <c r="E103" s="491" t="s">
        <v>3500</v>
      </c>
      <c r="F103" s="493">
        <v>5.7106481481481483E-4</v>
      </c>
      <c r="G103" s="491"/>
      <c r="H103" s="491" t="s">
        <v>1249</v>
      </c>
      <c r="I103" s="494" t="s">
        <v>4145</v>
      </c>
      <c r="J103" s="495" t="s">
        <v>4146</v>
      </c>
    </row>
    <row r="104" spans="1:10" s="251" customFormat="1" ht="12" customHeight="1" x14ac:dyDescent="0.15">
      <c r="A104" s="489" t="s">
        <v>3154</v>
      </c>
      <c r="B104" s="490">
        <v>42418</v>
      </c>
      <c r="C104" s="491" t="s">
        <v>86</v>
      </c>
      <c r="D104" s="492">
        <v>4</v>
      </c>
      <c r="E104" s="491" t="s">
        <v>3500</v>
      </c>
      <c r="F104" s="493">
        <v>5.5729166666666666E-4</v>
      </c>
      <c r="G104" s="491" t="s">
        <v>961</v>
      </c>
      <c r="H104" s="491"/>
      <c r="I104" s="556" t="s">
        <v>4148</v>
      </c>
      <c r="J104" s="495" t="s">
        <v>4147</v>
      </c>
    </row>
    <row r="105" spans="1:10" s="251" customFormat="1" ht="12" customHeight="1" x14ac:dyDescent="0.15">
      <c r="A105" s="552" t="s">
        <v>1943</v>
      </c>
      <c r="B105" s="490">
        <v>42420</v>
      </c>
      <c r="C105" s="491" t="s">
        <v>1955</v>
      </c>
      <c r="D105" s="492">
        <v>4</v>
      </c>
      <c r="E105" s="491" t="s">
        <v>3500</v>
      </c>
      <c r="F105" s="493">
        <v>5.7407407407407407E-4</v>
      </c>
      <c r="G105" s="491"/>
      <c r="H105" s="491"/>
      <c r="I105" s="494" t="s">
        <v>4151</v>
      </c>
      <c r="J105" s="495"/>
    </row>
    <row r="106" spans="1:10" s="251" customFormat="1" ht="12" customHeight="1" x14ac:dyDescent="0.15">
      <c r="A106" s="489" t="s">
        <v>58</v>
      </c>
      <c r="B106" s="490">
        <v>42419</v>
      </c>
      <c r="C106" s="491" t="s">
        <v>1947</v>
      </c>
      <c r="D106" s="492">
        <v>5</v>
      </c>
      <c r="E106" s="491" t="s">
        <v>3500</v>
      </c>
      <c r="F106" s="493">
        <v>7.5289351851851863E-4</v>
      </c>
      <c r="G106" s="491"/>
      <c r="H106" s="491"/>
      <c r="I106" s="494" t="s">
        <v>4152</v>
      </c>
      <c r="J106" s="495"/>
    </row>
    <row r="107" spans="1:10" s="251" customFormat="1" ht="12" customHeight="1" x14ac:dyDescent="0.15">
      <c r="A107" s="489" t="s">
        <v>3694</v>
      </c>
      <c r="B107" s="490">
        <v>42420</v>
      </c>
      <c r="C107" s="491" t="s">
        <v>3193</v>
      </c>
      <c r="D107" s="492">
        <v>4</v>
      </c>
      <c r="E107" s="491" t="s">
        <v>3500</v>
      </c>
      <c r="F107" s="493">
        <v>5.9027777777777778E-4</v>
      </c>
      <c r="G107" s="491"/>
      <c r="H107" s="491"/>
      <c r="I107" s="494" t="s">
        <v>4153</v>
      </c>
      <c r="J107" s="495"/>
    </row>
    <row r="108" spans="1:10" s="251" customFormat="1" ht="12" customHeight="1" x14ac:dyDescent="0.15">
      <c r="A108" s="489" t="s">
        <v>2176</v>
      </c>
      <c r="B108" s="490">
        <v>42420</v>
      </c>
      <c r="C108" s="491" t="s">
        <v>2315</v>
      </c>
      <c r="D108" s="492">
        <v>4</v>
      </c>
      <c r="E108" s="491" t="s">
        <v>3500</v>
      </c>
      <c r="F108" s="493">
        <v>5.4837962962962967E-4</v>
      </c>
      <c r="G108" s="491"/>
      <c r="H108" s="491"/>
      <c r="I108" s="494" t="s">
        <v>4154</v>
      </c>
      <c r="J108" s="495" t="s">
        <v>4155</v>
      </c>
    </row>
    <row r="109" spans="1:10" s="251" customFormat="1" ht="12" customHeight="1" x14ac:dyDescent="0.15">
      <c r="A109" s="489" t="s">
        <v>2177</v>
      </c>
      <c r="B109" s="490">
        <v>42420</v>
      </c>
      <c r="C109" s="491" t="s">
        <v>3286</v>
      </c>
      <c r="D109" s="492">
        <v>4</v>
      </c>
      <c r="E109" s="491" t="s">
        <v>3500</v>
      </c>
      <c r="F109" s="493">
        <v>5.7407407407407407E-4</v>
      </c>
      <c r="G109" s="491"/>
      <c r="H109" s="491"/>
      <c r="I109" s="494" t="s">
        <v>4156</v>
      </c>
      <c r="J109" s="495"/>
    </row>
    <row r="110" spans="1:10" s="251" customFormat="1" ht="12" customHeight="1" x14ac:dyDescent="0.15">
      <c r="A110" s="489" t="s">
        <v>2467</v>
      </c>
      <c r="B110" s="490">
        <v>42420</v>
      </c>
      <c r="C110" s="491" t="s">
        <v>2234</v>
      </c>
      <c r="D110" s="492">
        <v>4</v>
      </c>
      <c r="E110" s="491" t="s">
        <v>3500</v>
      </c>
      <c r="F110" s="493">
        <v>6.0208333333333338E-4</v>
      </c>
      <c r="G110" s="491"/>
      <c r="H110" s="491"/>
      <c r="I110" s="494" t="s">
        <v>4157</v>
      </c>
      <c r="J110" s="495"/>
    </row>
    <row r="111" spans="1:10" s="252" customFormat="1" ht="12" customHeight="1" x14ac:dyDescent="0.15">
      <c r="A111" s="496" t="s">
        <v>3183</v>
      </c>
      <c r="B111" s="497">
        <v>42420</v>
      </c>
      <c r="C111" s="498" t="s">
        <v>3744</v>
      </c>
      <c r="D111" s="499">
        <v>4</v>
      </c>
      <c r="E111" s="498" t="s">
        <v>3500</v>
      </c>
      <c r="F111" s="500">
        <v>5.4571759259259254E-4</v>
      </c>
      <c r="G111" s="498"/>
      <c r="H111" s="498"/>
      <c r="I111" s="501" t="s">
        <v>4158</v>
      </c>
      <c r="J111" s="502" t="s">
        <v>4159</v>
      </c>
    </row>
    <row r="112" spans="1:10" s="251" customFormat="1" ht="12" customHeight="1" x14ac:dyDescent="0.15">
      <c r="A112" s="489" t="s">
        <v>1965</v>
      </c>
      <c r="B112" s="490">
        <v>42421</v>
      </c>
      <c r="C112" s="491" t="s">
        <v>1955</v>
      </c>
      <c r="D112" s="492">
        <v>3</v>
      </c>
      <c r="E112" s="491" t="s">
        <v>3500</v>
      </c>
      <c r="F112" s="493">
        <v>4.4444444444444441E-4</v>
      </c>
      <c r="G112" s="491"/>
      <c r="H112" s="491"/>
      <c r="I112" s="494" t="s">
        <v>4161</v>
      </c>
      <c r="J112" s="495"/>
    </row>
    <row r="113" spans="1:10" s="251" customFormat="1" ht="12" customHeight="1" x14ac:dyDescent="0.15">
      <c r="A113" s="489" t="s">
        <v>3863</v>
      </c>
      <c r="B113" s="490">
        <v>42421</v>
      </c>
      <c r="C113" s="491" t="s">
        <v>1948</v>
      </c>
      <c r="D113" s="492">
        <v>4</v>
      </c>
      <c r="E113" s="491" t="s">
        <v>3500</v>
      </c>
      <c r="F113" s="493">
        <v>5.5115740740740743E-4</v>
      </c>
      <c r="G113" s="491"/>
      <c r="H113" s="491"/>
      <c r="I113" s="494" t="s">
        <v>4162</v>
      </c>
      <c r="J113" s="495"/>
    </row>
    <row r="114" spans="1:10" s="251" customFormat="1" ht="12" customHeight="1" thickBot="1" x14ac:dyDescent="0.2">
      <c r="A114" s="489" t="s">
        <v>1557</v>
      </c>
      <c r="B114" s="490">
        <v>42420</v>
      </c>
      <c r="C114" s="491" t="s">
        <v>3978</v>
      </c>
      <c r="D114" s="492">
        <v>4</v>
      </c>
      <c r="E114" s="491" t="s">
        <v>3500</v>
      </c>
      <c r="F114" s="493">
        <v>5.7407407407407407E-4</v>
      </c>
      <c r="G114" s="491"/>
      <c r="H114" s="491"/>
      <c r="I114" s="491" t="s">
        <v>4163</v>
      </c>
      <c r="J114" s="495"/>
    </row>
    <row r="115" spans="1:10" s="251" customFormat="1" ht="12" customHeight="1" x14ac:dyDescent="0.15">
      <c r="A115" s="540" t="s">
        <v>2164</v>
      </c>
      <c r="B115" s="253">
        <v>42422</v>
      </c>
      <c r="C115" s="254" t="s">
        <v>2315</v>
      </c>
      <c r="D115" s="255">
        <v>4</v>
      </c>
      <c r="E115" s="342" t="s">
        <v>3500</v>
      </c>
      <c r="F115" s="256">
        <v>5.6400462962962958E-4</v>
      </c>
      <c r="G115" s="254"/>
      <c r="H115" s="254"/>
      <c r="I115" s="257" t="s">
        <v>4168</v>
      </c>
      <c r="J115" s="258"/>
    </row>
    <row r="116" spans="1:10" s="251" customFormat="1" ht="12" customHeight="1" x14ac:dyDescent="0.15">
      <c r="A116" s="489" t="s">
        <v>1667</v>
      </c>
      <c r="B116" s="490">
        <v>42422</v>
      </c>
      <c r="C116" s="491" t="s">
        <v>2006</v>
      </c>
      <c r="D116" s="492">
        <v>4</v>
      </c>
      <c r="E116" s="491" t="s">
        <v>3502</v>
      </c>
      <c r="F116" s="493">
        <v>6.6898148148148145E-4</v>
      </c>
      <c r="G116" s="491"/>
      <c r="H116" s="491"/>
      <c r="I116" s="494" t="s">
        <v>366</v>
      </c>
      <c r="J116" s="495" t="s">
        <v>4172</v>
      </c>
    </row>
    <row r="117" spans="1:10" s="251" customFormat="1" ht="12" customHeight="1" x14ac:dyDescent="0.15">
      <c r="A117" s="489" t="s">
        <v>1670</v>
      </c>
      <c r="B117" s="490">
        <v>42425</v>
      </c>
      <c r="C117" s="491" t="s">
        <v>4052</v>
      </c>
      <c r="D117" s="492">
        <v>3</v>
      </c>
      <c r="E117" s="491" t="s">
        <v>3500</v>
      </c>
      <c r="F117" s="493">
        <v>4.212962962962963E-4</v>
      </c>
      <c r="G117" s="491"/>
      <c r="H117" s="491" t="s">
        <v>1249</v>
      </c>
      <c r="I117" s="494" t="s">
        <v>2303</v>
      </c>
      <c r="J117" s="495" t="s">
        <v>2310</v>
      </c>
    </row>
    <row r="118" spans="1:10" s="251" customFormat="1" ht="12" customHeight="1" x14ac:dyDescent="0.15">
      <c r="A118" s="489" t="s">
        <v>1558</v>
      </c>
      <c r="B118" s="490">
        <v>42425</v>
      </c>
      <c r="C118" s="491" t="s">
        <v>86</v>
      </c>
      <c r="D118" s="492">
        <v>5</v>
      </c>
      <c r="E118" s="491" t="s">
        <v>3500</v>
      </c>
      <c r="F118" s="493" t="s">
        <v>4181</v>
      </c>
      <c r="G118" s="491"/>
      <c r="H118" s="491"/>
      <c r="I118" s="494" t="s">
        <v>4182</v>
      </c>
      <c r="J118" s="495"/>
    </row>
    <row r="119" spans="1:10" s="251" customFormat="1" ht="12" customHeight="1" x14ac:dyDescent="0.15">
      <c r="A119" s="489" t="s">
        <v>1816</v>
      </c>
      <c r="B119" s="490">
        <v>42426</v>
      </c>
      <c r="C119" s="491" t="s">
        <v>86</v>
      </c>
      <c r="D119" s="492">
        <v>5</v>
      </c>
      <c r="E119" s="491" t="s">
        <v>3500</v>
      </c>
      <c r="F119" s="493">
        <v>7.164351851851853E-4</v>
      </c>
      <c r="G119" s="491"/>
      <c r="H119" s="491"/>
      <c r="I119" s="494" t="s">
        <v>4185</v>
      </c>
      <c r="J119" s="495"/>
    </row>
    <row r="120" spans="1:10" s="251" customFormat="1" ht="12" customHeight="1" x14ac:dyDescent="0.15">
      <c r="A120" s="489" t="s">
        <v>122</v>
      </c>
      <c r="B120" s="490">
        <v>42426</v>
      </c>
      <c r="C120" s="491" t="s">
        <v>1952</v>
      </c>
      <c r="D120" s="492">
        <v>4</v>
      </c>
      <c r="E120" s="491" t="s">
        <v>3500</v>
      </c>
      <c r="F120" s="493">
        <v>5.9953703703703699E-4</v>
      </c>
      <c r="G120" s="491"/>
      <c r="H120" s="491"/>
      <c r="I120" s="494" t="s">
        <v>4186</v>
      </c>
      <c r="J120" s="495"/>
    </row>
    <row r="121" spans="1:10" s="251" customFormat="1" ht="12" customHeight="1" x14ac:dyDescent="0.15">
      <c r="A121" s="489" t="s">
        <v>4194</v>
      </c>
      <c r="B121" s="490">
        <v>42427</v>
      </c>
      <c r="C121" s="491" t="s">
        <v>86</v>
      </c>
      <c r="D121" s="492">
        <v>5</v>
      </c>
      <c r="E121" s="491" t="s">
        <v>3500</v>
      </c>
      <c r="F121" s="493">
        <v>7.175925925925927E-4</v>
      </c>
      <c r="G121" s="491"/>
      <c r="H121" s="491"/>
      <c r="I121" s="494" t="s">
        <v>4195</v>
      </c>
      <c r="J121" s="495"/>
    </row>
    <row r="122" spans="1:10" s="251" customFormat="1" ht="12" customHeight="1" x14ac:dyDescent="0.15">
      <c r="A122" s="489" t="s">
        <v>2276</v>
      </c>
      <c r="B122" s="490">
        <v>42427</v>
      </c>
      <c r="C122" s="491" t="s">
        <v>1950</v>
      </c>
      <c r="D122" s="492">
        <v>4</v>
      </c>
      <c r="E122" s="491" t="s">
        <v>3500</v>
      </c>
      <c r="F122" s="493">
        <v>5.6562500000000005E-4</v>
      </c>
      <c r="G122" s="491"/>
      <c r="H122" s="491"/>
      <c r="I122" s="494" t="s">
        <v>1716</v>
      </c>
      <c r="J122" s="495"/>
    </row>
    <row r="123" spans="1:10" s="251" customFormat="1" ht="12" customHeight="1" x14ac:dyDescent="0.15">
      <c r="A123" s="489" t="s">
        <v>3203</v>
      </c>
      <c r="B123" s="490">
        <v>42427</v>
      </c>
      <c r="C123" s="491" t="s">
        <v>1948</v>
      </c>
      <c r="D123" s="492">
        <v>4</v>
      </c>
      <c r="E123" s="491" t="s">
        <v>3500</v>
      </c>
      <c r="F123" s="493">
        <v>5.7106481481481483E-4</v>
      </c>
      <c r="G123" s="491"/>
      <c r="H123" s="491"/>
      <c r="I123" s="494" t="s">
        <v>4219</v>
      </c>
      <c r="J123" s="495"/>
    </row>
    <row r="124" spans="1:10" s="251" customFormat="1" ht="12" customHeight="1" x14ac:dyDescent="0.15">
      <c r="A124" s="489" t="s">
        <v>2177</v>
      </c>
      <c r="B124" s="490">
        <v>42427</v>
      </c>
      <c r="C124" s="491" t="s">
        <v>3286</v>
      </c>
      <c r="D124" s="492">
        <v>5</v>
      </c>
      <c r="E124" s="491" t="s">
        <v>3500</v>
      </c>
      <c r="F124" s="493">
        <v>7.1527777777777779E-4</v>
      </c>
      <c r="G124" s="491"/>
      <c r="H124" s="491"/>
      <c r="I124" s="494" t="s">
        <v>4197</v>
      </c>
      <c r="J124" s="495"/>
    </row>
    <row r="125" spans="1:10" s="252" customFormat="1" ht="12" customHeight="1" x14ac:dyDescent="0.15">
      <c r="A125" s="496" t="s">
        <v>1557</v>
      </c>
      <c r="B125" s="497">
        <v>42427</v>
      </c>
      <c r="C125" s="498" t="s">
        <v>3978</v>
      </c>
      <c r="D125" s="499">
        <v>4</v>
      </c>
      <c r="E125" s="498" t="s">
        <v>3500</v>
      </c>
      <c r="F125" s="500">
        <v>5.4861111111111104E-4</v>
      </c>
      <c r="G125" s="498"/>
      <c r="H125" s="498"/>
      <c r="I125" s="501" t="s">
        <v>4201</v>
      </c>
      <c r="J125" s="502"/>
    </row>
    <row r="126" spans="1:10" s="251" customFormat="1" ht="12" customHeight="1" x14ac:dyDescent="0.15">
      <c r="A126" s="489" t="s">
        <v>1897</v>
      </c>
      <c r="B126" s="490">
        <v>42428</v>
      </c>
      <c r="C126" s="491" t="s">
        <v>1948</v>
      </c>
      <c r="D126" s="492">
        <v>4</v>
      </c>
      <c r="E126" s="491" t="s">
        <v>3500</v>
      </c>
      <c r="F126" s="493">
        <v>5.597222222222222E-4</v>
      </c>
      <c r="G126" s="491"/>
      <c r="H126" s="491"/>
      <c r="I126" s="556" t="s">
        <v>4214</v>
      </c>
      <c r="J126" s="495"/>
    </row>
    <row r="127" spans="1:10" s="251" customFormat="1" ht="12" customHeight="1" x14ac:dyDescent="0.15">
      <c r="A127" s="489" t="s">
        <v>1667</v>
      </c>
      <c r="B127" s="490">
        <v>42427</v>
      </c>
      <c r="C127" s="491" t="s">
        <v>2006</v>
      </c>
      <c r="D127" s="492">
        <v>2</v>
      </c>
      <c r="E127" s="491" t="s">
        <v>3502</v>
      </c>
      <c r="F127" s="493">
        <v>2.6041666666666666E-4</v>
      </c>
      <c r="G127" s="491"/>
      <c r="H127" s="491"/>
      <c r="I127" s="556" t="s">
        <v>366</v>
      </c>
      <c r="J127" s="495"/>
    </row>
    <row r="128" spans="1:10" s="251" customFormat="1" ht="12" customHeight="1" x14ac:dyDescent="0.15">
      <c r="A128" s="489" t="s">
        <v>3863</v>
      </c>
      <c r="B128" s="490">
        <v>42428</v>
      </c>
      <c r="C128" s="491" t="s">
        <v>1948</v>
      </c>
      <c r="D128" s="492">
        <v>4</v>
      </c>
      <c r="E128" s="491" t="s">
        <v>3500</v>
      </c>
      <c r="F128" s="493">
        <v>5.718749999999999E-4</v>
      </c>
      <c r="G128" s="491"/>
      <c r="H128" s="491"/>
      <c r="I128" s="494" t="s">
        <v>4215</v>
      </c>
      <c r="J128" s="495"/>
    </row>
    <row r="129" spans="1:11" s="251" customFormat="1" ht="12" customHeight="1" thickBot="1" x14ac:dyDescent="0.2">
      <c r="A129" s="489" t="s">
        <v>3899</v>
      </c>
      <c r="B129" s="490">
        <v>42428</v>
      </c>
      <c r="C129" s="491" t="s">
        <v>1948</v>
      </c>
      <c r="D129" s="492">
        <v>4</v>
      </c>
      <c r="E129" s="491" t="s">
        <v>3500</v>
      </c>
      <c r="F129" s="493">
        <v>5.701388888888888E-4</v>
      </c>
      <c r="G129" s="491"/>
      <c r="H129" s="491"/>
      <c r="I129" s="491" t="s">
        <v>4216</v>
      </c>
      <c r="J129" s="495"/>
    </row>
    <row r="130" spans="1:11" s="251" customFormat="1" ht="12" customHeight="1" x14ac:dyDescent="0.15">
      <c r="A130" s="540" t="s">
        <v>3178</v>
      </c>
      <c r="B130" s="253">
        <v>42429</v>
      </c>
      <c r="C130" s="254" t="s">
        <v>1950</v>
      </c>
      <c r="D130" s="255">
        <v>3</v>
      </c>
      <c r="E130" s="342" t="s">
        <v>3500</v>
      </c>
      <c r="F130" s="256">
        <v>4.1840277777777774E-4</v>
      </c>
      <c r="G130" s="254"/>
      <c r="H130" s="254"/>
      <c r="I130" s="257" t="s">
        <v>3273</v>
      </c>
      <c r="J130" s="258" t="s">
        <v>4221</v>
      </c>
    </row>
    <row r="131" spans="1:11" s="251" customFormat="1" ht="12" customHeight="1" x14ac:dyDescent="0.15">
      <c r="A131" s="489" t="s">
        <v>1120</v>
      </c>
      <c r="B131" s="490">
        <v>42429</v>
      </c>
      <c r="C131" s="491" t="s">
        <v>1950</v>
      </c>
      <c r="D131" s="492">
        <v>4</v>
      </c>
      <c r="E131" s="491" t="s">
        <v>3500</v>
      </c>
      <c r="F131" s="493">
        <v>5.6828703703703707E-4</v>
      </c>
      <c r="G131" s="491"/>
      <c r="H131" s="491"/>
      <c r="I131" s="494" t="s">
        <v>4220</v>
      </c>
      <c r="J131" s="495" t="s">
        <v>4226</v>
      </c>
    </row>
    <row r="132" spans="1:11" s="251" customFormat="1" ht="12" customHeight="1" x14ac:dyDescent="0.15">
      <c r="A132" s="489" t="s">
        <v>1953</v>
      </c>
      <c r="B132" s="490">
        <v>42429</v>
      </c>
      <c r="C132" s="491" t="s">
        <v>3286</v>
      </c>
      <c r="D132" s="492">
        <v>3</v>
      </c>
      <c r="E132" s="491" t="s">
        <v>3500</v>
      </c>
      <c r="F132" s="493">
        <v>4.2824074074074075E-4</v>
      </c>
      <c r="G132" s="491"/>
      <c r="H132" s="491"/>
      <c r="I132" s="494" t="s">
        <v>964</v>
      </c>
      <c r="J132" s="495" t="s">
        <v>4123</v>
      </c>
    </row>
    <row r="133" spans="1:11" s="251" customFormat="1" ht="12" customHeight="1" x14ac:dyDescent="0.15">
      <c r="A133" s="489" t="s">
        <v>2178</v>
      </c>
      <c r="B133" s="490">
        <v>42430</v>
      </c>
      <c r="C133" s="491" t="s">
        <v>2315</v>
      </c>
      <c r="D133" s="492">
        <v>3</v>
      </c>
      <c r="E133" s="491" t="s">
        <v>3500</v>
      </c>
      <c r="F133" s="493">
        <v>4.317129629629629E-4</v>
      </c>
      <c r="G133" s="491"/>
      <c r="H133" s="491"/>
      <c r="I133" s="494" t="s">
        <v>4230</v>
      </c>
      <c r="J133" s="495" t="s">
        <v>4234</v>
      </c>
    </row>
    <row r="134" spans="1:11" s="251" customFormat="1" ht="12" customHeight="1" x14ac:dyDescent="0.15">
      <c r="A134" s="560" t="s">
        <v>1710</v>
      </c>
      <c r="B134" s="561">
        <v>42430</v>
      </c>
      <c r="C134" s="562" t="s">
        <v>4231</v>
      </c>
      <c r="D134" s="563">
        <v>5</v>
      </c>
      <c r="E134" s="562" t="s">
        <v>3500</v>
      </c>
      <c r="F134" s="564">
        <v>7.3020833333333347E-4</v>
      </c>
      <c r="G134" s="562"/>
      <c r="H134" s="562"/>
      <c r="I134" s="565" t="s">
        <v>4232</v>
      </c>
      <c r="J134" s="566" t="s">
        <v>4233</v>
      </c>
    </row>
    <row r="135" spans="1:11" s="251" customFormat="1" ht="12" customHeight="1" x14ac:dyDescent="0.15">
      <c r="A135" s="574" t="s">
        <v>3158</v>
      </c>
      <c r="B135" s="575">
        <v>42430</v>
      </c>
      <c r="C135" s="576" t="s">
        <v>1950</v>
      </c>
      <c r="D135" s="577">
        <v>3</v>
      </c>
      <c r="E135" s="576" t="s">
        <v>3500</v>
      </c>
      <c r="F135" s="578">
        <v>4.6284722222222219E-4</v>
      </c>
      <c r="G135" s="576"/>
      <c r="H135" s="576"/>
      <c r="I135" s="579" t="s">
        <v>4235</v>
      </c>
      <c r="J135" s="580" t="s">
        <v>2428</v>
      </c>
      <c r="K135" s="558"/>
    </row>
    <row r="136" spans="1:11" s="251" customFormat="1" ht="12" customHeight="1" x14ac:dyDescent="0.15">
      <c r="A136" s="581" t="s">
        <v>3355</v>
      </c>
      <c r="B136" s="490">
        <v>42430</v>
      </c>
      <c r="C136" s="491" t="s">
        <v>1950</v>
      </c>
      <c r="D136" s="492">
        <v>3</v>
      </c>
      <c r="E136" s="491" t="s">
        <v>3500</v>
      </c>
      <c r="F136" s="493">
        <v>4.6284722222222219E-4</v>
      </c>
      <c r="G136" s="491"/>
      <c r="H136" s="491"/>
      <c r="I136" s="494" t="s">
        <v>4235</v>
      </c>
      <c r="J136" s="582" t="s">
        <v>2428</v>
      </c>
      <c r="K136" s="558"/>
    </row>
    <row r="137" spans="1:11" s="251" customFormat="1" ht="12" customHeight="1" x14ac:dyDescent="0.15">
      <c r="A137" s="581" t="s">
        <v>3266</v>
      </c>
      <c r="B137" s="490">
        <v>42430</v>
      </c>
      <c r="C137" s="491" t="s">
        <v>1950</v>
      </c>
      <c r="D137" s="492">
        <v>4</v>
      </c>
      <c r="E137" s="491" t="s">
        <v>3500</v>
      </c>
      <c r="F137" s="493">
        <v>5.5879629629629628E-4</v>
      </c>
      <c r="G137" s="491"/>
      <c r="H137" s="491"/>
      <c r="I137" s="494" t="s">
        <v>4236</v>
      </c>
      <c r="J137" s="582"/>
      <c r="K137" s="558" t="s">
        <v>3705</v>
      </c>
    </row>
    <row r="138" spans="1:11" s="251" customFormat="1" ht="12" customHeight="1" x14ac:dyDescent="0.15">
      <c r="A138" s="581" t="s">
        <v>3182</v>
      </c>
      <c r="B138" s="490">
        <v>42430</v>
      </c>
      <c r="C138" s="491" t="s">
        <v>1950</v>
      </c>
      <c r="D138" s="492">
        <v>4</v>
      </c>
      <c r="E138" s="491" t="s">
        <v>3500</v>
      </c>
      <c r="F138" s="493">
        <v>5.5879629629629628E-4</v>
      </c>
      <c r="G138" s="491"/>
      <c r="H138" s="491"/>
      <c r="I138" s="494" t="s">
        <v>4236</v>
      </c>
      <c r="J138" s="582"/>
      <c r="K138" s="558" t="s">
        <v>4240</v>
      </c>
    </row>
    <row r="139" spans="1:11" s="251" customFormat="1" ht="12" customHeight="1" x14ac:dyDescent="0.15">
      <c r="A139" s="581" t="s">
        <v>4237</v>
      </c>
      <c r="B139" s="490">
        <v>42430</v>
      </c>
      <c r="C139" s="491" t="s">
        <v>1950</v>
      </c>
      <c r="D139" s="492">
        <v>4</v>
      </c>
      <c r="E139" s="491" t="s">
        <v>3500</v>
      </c>
      <c r="F139" s="493">
        <v>5.4525462962962958E-4</v>
      </c>
      <c r="G139" s="491"/>
      <c r="H139" s="491"/>
      <c r="I139" s="494" t="s">
        <v>4238</v>
      </c>
      <c r="J139" s="582" t="s">
        <v>4242</v>
      </c>
      <c r="K139" s="558" t="s">
        <v>4241</v>
      </c>
    </row>
    <row r="140" spans="1:11" s="251" customFormat="1" ht="12" customHeight="1" x14ac:dyDescent="0.15">
      <c r="A140" s="581" t="s">
        <v>3339</v>
      </c>
      <c r="B140" s="490">
        <v>42430</v>
      </c>
      <c r="C140" s="491" t="s">
        <v>1950</v>
      </c>
      <c r="D140" s="492">
        <v>4</v>
      </c>
      <c r="E140" s="491" t="s">
        <v>3500</v>
      </c>
      <c r="F140" s="493">
        <v>5.4525462962962958E-4</v>
      </c>
      <c r="G140" s="491"/>
      <c r="H140" s="491"/>
      <c r="I140" s="556" t="s">
        <v>4238</v>
      </c>
      <c r="J140" s="582"/>
      <c r="K140" s="558"/>
    </row>
    <row r="141" spans="1:11" s="252" customFormat="1" ht="12" customHeight="1" x14ac:dyDescent="0.15">
      <c r="A141" s="583" t="s">
        <v>1831</v>
      </c>
      <c r="B141" s="584">
        <v>42430</v>
      </c>
      <c r="C141" s="585" t="s">
        <v>1950</v>
      </c>
      <c r="D141" s="586">
        <v>5</v>
      </c>
      <c r="E141" s="585" t="s">
        <v>3500</v>
      </c>
      <c r="F141" s="587">
        <v>6.9664351851851864E-4</v>
      </c>
      <c r="G141" s="585"/>
      <c r="H141" s="585"/>
      <c r="I141" s="588" t="s">
        <v>4239</v>
      </c>
      <c r="J141" s="589" t="s">
        <v>4226</v>
      </c>
      <c r="K141" s="559"/>
    </row>
    <row r="142" spans="1:11" s="251" customFormat="1" ht="12" customHeight="1" x14ac:dyDescent="0.15">
      <c r="A142" s="567" t="s">
        <v>2480</v>
      </c>
      <c r="B142" s="568">
        <v>42431</v>
      </c>
      <c r="C142" s="569" t="s">
        <v>1948</v>
      </c>
      <c r="D142" s="570">
        <v>4</v>
      </c>
      <c r="E142" s="569" t="s">
        <v>3500</v>
      </c>
      <c r="F142" s="571">
        <v>5.8935185185185186E-4</v>
      </c>
      <c r="G142" s="569"/>
      <c r="H142" s="569"/>
      <c r="I142" s="572" t="s">
        <v>4251</v>
      </c>
      <c r="J142" s="573"/>
    </row>
    <row r="143" spans="1:11" s="251" customFormat="1" ht="12" customHeight="1" x14ac:dyDescent="0.15">
      <c r="A143" s="489" t="s">
        <v>2176</v>
      </c>
      <c r="B143" s="490">
        <v>42431</v>
      </c>
      <c r="C143" s="491" t="s">
        <v>2315</v>
      </c>
      <c r="D143" s="492">
        <v>4</v>
      </c>
      <c r="E143" s="491" t="s">
        <v>3501</v>
      </c>
      <c r="F143" s="493">
        <v>5.6631944444444449E-4</v>
      </c>
      <c r="G143" s="491"/>
      <c r="H143" s="491"/>
      <c r="I143" s="494" t="s">
        <v>4252</v>
      </c>
      <c r="J143" s="495" t="s">
        <v>4146</v>
      </c>
    </row>
    <row r="144" spans="1:11" s="252" customFormat="1" ht="12" customHeight="1" x14ac:dyDescent="0.15">
      <c r="A144" s="496" t="s">
        <v>3333</v>
      </c>
      <c r="B144" s="497">
        <v>42432</v>
      </c>
      <c r="C144" s="498" t="s">
        <v>4255</v>
      </c>
      <c r="D144" s="499">
        <v>4</v>
      </c>
      <c r="E144" s="498" t="s">
        <v>3500</v>
      </c>
      <c r="F144" s="500">
        <v>5.5555555555555556E-4</v>
      </c>
      <c r="G144" s="498"/>
      <c r="H144" s="498"/>
      <c r="I144" s="501" t="s">
        <v>3746</v>
      </c>
      <c r="J144" s="502" t="s">
        <v>2428</v>
      </c>
    </row>
    <row r="145" spans="1:10" s="251" customFormat="1" ht="12" customHeight="1" x14ac:dyDescent="0.15">
      <c r="A145" s="489" t="s">
        <v>4099</v>
      </c>
      <c r="B145" s="490">
        <v>42432</v>
      </c>
      <c r="C145" s="491" t="s">
        <v>4100</v>
      </c>
      <c r="D145" s="492">
        <v>4</v>
      </c>
      <c r="E145" s="491" t="s">
        <v>3500</v>
      </c>
      <c r="F145" s="493">
        <v>5.6481481481481476E-4</v>
      </c>
      <c r="G145" s="491"/>
      <c r="H145" s="491"/>
      <c r="I145" s="494" t="s">
        <v>4058</v>
      </c>
      <c r="J145" s="495"/>
    </row>
    <row r="146" spans="1:10" s="251" customFormat="1" ht="12" customHeight="1" x14ac:dyDescent="0.15">
      <c r="A146" s="489" t="s">
        <v>57</v>
      </c>
      <c r="B146" s="490">
        <v>42434</v>
      </c>
      <c r="C146" s="491" t="s">
        <v>2293</v>
      </c>
      <c r="D146" s="492"/>
      <c r="E146" s="491"/>
      <c r="F146" s="493"/>
      <c r="G146" s="491"/>
      <c r="H146" s="491"/>
      <c r="I146" s="494"/>
      <c r="J146" s="495" t="s">
        <v>4123</v>
      </c>
    </row>
    <row r="147" spans="1:10" s="251" customFormat="1" ht="12" customHeight="1" x14ac:dyDescent="0.15">
      <c r="A147" s="489" t="s">
        <v>4121</v>
      </c>
      <c r="B147" s="490">
        <v>42433</v>
      </c>
      <c r="C147" s="491" t="s">
        <v>86</v>
      </c>
      <c r="D147" s="492"/>
      <c r="E147" s="491"/>
      <c r="F147" s="493"/>
      <c r="G147" s="491"/>
      <c r="H147" s="491"/>
      <c r="I147" s="494"/>
      <c r="J147" s="495"/>
    </row>
    <row r="148" spans="1:10" s="251" customFormat="1" ht="12" customHeight="1" x14ac:dyDescent="0.15">
      <c r="A148" s="489" t="s">
        <v>2355</v>
      </c>
      <c r="B148" s="490">
        <v>42434</v>
      </c>
      <c r="C148" s="491" t="s">
        <v>1948</v>
      </c>
      <c r="D148" s="492"/>
      <c r="E148" s="491"/>
      <c r="F148" s="493"/>
      <c r="G148" s="491"/>
      <c r="H148" s="491"/>
      <c r="I148" s="494"/>
      <c r="J148" s="495"/>
    </row>
    <row r="149" spans="1:10" s="251" customFormat="1" ht="12" customHeight="1" x14ac:dyDescent="0.15">
      <c r="A149" s="489" t="s">
        <v>3204</v>
      </c>
      <c r="B149" s="490">
        <v>42434</v>
      </c>
      <c r="C149" s="491" t="s">
        <v>2293</v>
      </c>
      <c r="D149" s="492"/>
      <c r="E149" s="491"/>
      <c r="F149" s="493"/>
      <c r="G149" s="491"/>
      <c r="H149" s="491"/>
      <c r="I149" s="494"/>
      <c r="J149" s="495"/>
    </row>
    <row r="150" spans="1:10" s="251" customFormat="1" ht="12" customHeight="1" x14ac:dyDescent="0.15">
      <c r="A150" s="489" t="s">
        <v>4532</v>
      </c>
      <c r="B150" s="490">
        <v>42434</v>
      </c>
      <c r="C150" s="491" t="s">
        <v>2293</v>
      </c>
      <c r="D150" s="492"/>
      <c r="E150" s="491"/>
      <c r="F150" s="493"/>
      <c r="G150" s="491"/>
      <c r="H150" s="491"/>
      <c r="I150" s="494"/>
      <c r="J150" s="495" t="s">
        <v>2428</v>
      </c>
    </row>
    <row r="151" spans="1:10" s="252" customFormat="1" ht="12" customHeight="1" x14ac:dyDescent="0.15">
      <c r="A151" s="496" t="s">
        <v>1953</v>
      </c>
      <c r="B151" s="497">
        <v>42434</v>
      </c>
      <c r="C151" s="498" t="s">
        <v>3286</v>
      </c>
      <c r="D151" s="499">
        <v>3</v>
      </c>
      <c r="E151" s="498" t="s">
        <v>3500</v>
      </c>
      <c r="F151" s="500">
        <v>4.1666666666666669E-4</v>
      </c>
      <c r="G151" s="498"/>
      <c r="H151" s="498"/>
      <c r="I151" s="501" t="s">
        <v>3745</v>
      </c>
      <c r="J151" s="502"/>
    </row>
    <row r="152" spans="1:10" s="252" customFormat="1" ht="12" customHeight="1" x14ac:dyDescent="0.15">
      <c r="A152" s="496" t="s">
        <v>3743</v>
      </c>
      <c r="B152" s="497">
        <v>42433</v>
      </c>
      <c r="C152" s="498" t="s">
        <v>86</v>
      </c>
      <c r="D152" s="499">
        <v>4</v>
      </c>
      <c r="E152" s="498" t="s">
        <v>3500</v>
      </c>
      <c r="F152" s="500">
        <v>5.4398148148148144E-4</v>
      </c>
      <c r="G152" s="498"/>
      <c r="H152" s="498"/>
      <c r="I152" s="501" t="s">
        <v>4262</v>
      </c>
      <c r="J152" s="502"/>
    </row>
    <row r="153" spans="1:10" s="251" customFormat="1" ht="12" customHeight="1" x14ac:dyDescent="0.15">
      <c r="A153" s="489" t="s">
        <v>1942</v>
      </c>
      <c r="B153" s="490">
        <v>42433</v>
      </c>
      <c r="C153" s="491" t="s">
        <v>1945</v>
      </c>
      <c r="D153" s="492">
        <v>4</v>
      </c>
      <c r="E153" s="491" t="s">
        <v>3500</v>
      </c>
      <c r="F153" s="493">
        <v>5.8333333333333338E-4</v>
      </c>
      <c r="G153" s="491"/>
      <c r="H153" s="491"/>
      <c r="I153" s="494" t="s">
        <v>4263</v>
      </c>
      <c r="J153" s="495"/>
    </row>
    <row r="154" spans="1:10" s="251" customFormat="1" ht="12" customHeight="1" x14ac:dyDescent="0.15">
      <c r="A154" s="489" t="s">
        <v>2401</v>
      </c>
      <c r="B154" s="490">
        <v>42434</v>
      </c>
      <c r="C154" s="491" t="s">
        <v>1952</v>
      </c>
      <c r="D154" s="492">
        <v>5</v>
      </c>
      <c r="E154" s="491" t="s">
        <v>3500</v>
      </c>
      <c r="F154" s="493">
        <v>7.0370370370370378E-4</v>
      </c>
      <c r="G154" s="491"/>
      <c r="H154" s="491"/>
      <c r="I154" s="494" t="s">
        <v>4267</v>
      </c>
      <c r="J154" s="495"/>
    </row>
    <row r="155" spans="1:10" s="251" customFormat="1" ht="12" customHeight="1" thickBot="1" x14ac:dyDescent="0.2">
      <c r="A155" s="489" t="s">
        <v>122</v>
      </c>
      <c r="B155" s="490">
        <v>42435</v>
      </c>
      <c r="C155" s="491" t="s">
        <v>1952</v>
      </c>
      <c r="D155" s="492">
        <v>5</v>
      </c>
      <c r="E155" s="491" t="s">
        <v>3501</v>
      </c>
      <c r="F155" s="493">
        <v>7.0601851851851847E-4</v>
      </c>
      <c r="G155" s="491"/>
      <c r="H155" s="491"/>
      <c r="I155" s="491" t="s">
        <v>4269</v>
      </c>
      <c r="J155" s="495"/>
    </row>
    <row r="156" spans="1:10" s="251" customFormat="1" ht="12" customHeight="1" x14ac:dyDescent="0.15">
      <c r="A156" s="540" t="s">
        <v>1670</v>
      </c>
      <c r="B156" s="253">
        <v>42436</v>
      </c>
      <c r="C156" s="254" t="s">
        <v>4052</v>
      </c>
      <c r="D156" s="255">
        <v>4</v>
      </c>
      <c r="E156" s="342" t="s">
        <v>3500</v>
      </c>
      <c r="F156" s="256">
        <v>6.134259259259259E-4</v>
      </c>
      <c r="G156" s="254"/>
      <c r="H156" s="254"/>
      <c r="I156" s="257" t="s">
        <v>4061</v>
      </c>
      <c r="J156" s="258"/>
    </row>
    <row r="157" spans="1:10" s="251" customFormat="1" ht="12" customHeight="1" x14ac:dyDescent="0.15">
      <c r="A157" s="489" t="s">
        <v>321</v>
      </c>
      <c r="B157" s="490">
        <v>42436</v>
      </c>
      <c r="C157" s="491" t="s">
        <v>2293</v>
      </c>
      <c r="D157" s="492">
        <v>4</v>
      </c>
      <c r="E157" s="491" t="s">
        <v>3500</v>
      </c>
      <c r="F157" s="493">
        <v>5.7870370370370378E-4</v>
      </c>
      <c r="G157" s="491"/>
      <c r="H157" s="491"/>
      <c r="I157" s="494" t="s">
        <v>4289</v>
      </c>
      <c r="J157" s="495"/>
    </row>
    <row r="158" spans="1:10" s="597" customFormat="1" ht="12" customHeight="1" x14ac:dyDescent="0.15">
      <c r="A158" s="590" t="s">
        <v>3318</v>
      </c>
      <c r="B158" s="591">
        <v>42437</v>
      </c>
      <c r="C158" s="592" t="s">
        <v>4278</v>
      </c>
      <c r="D158" s="593">
        <v>3</v>
      </c>
      <c r="E158" s="592" t="s">
        <v>3500</v>
      </c>
      <c r="F158" s="594">
        <v>4.5833333333333338E-4</v>
      </c>
      <c r="G158" s="592"/>
      <c r="H158" s="592"/>
      <c r="I158" s="595" t="s">
        <v>3279</v>
      </c>
      <c r="J158" s="596" t="s">
        <v>4274</v>
      </c>
    </row>
    <row r="159" spans="1:10" s="251" customFormat="1" ht="12" customHeight="1" x14ac:dyDescent="0.15">
      <c r="A159" s="489" t="s">
        <v>2178</v>
      </c>
      <c r="B159" s="490">
        <v>42437</v>
      </c>
      <c r="C159" s="491" t="s">
        <v>2315</v>
      </c>
      <c r="D159" s="492">
        <v>4</v>
      </c>
      <c r="E159" s="491" t="s">
        <v>3500</v>
      </c>
      <c r="F159" s="493">
        <v>5.8645833333333336E-4</v>
      </c>
      <c r="G159" s="491"/>
      <c r="H159" s="491"/>
      <c r="I159" s="494" t="s">
        <v>4288</v>
      </c>
      <c r="J159" s="495"/>
    </row>
    <row r="160" spans="1:10" s="251" customFormat="1" ht="12" customHeight="1" x14ac:dyDescent="0.15">
      <c r="A160" s="489" t="s">
        <v>2276</v>
      </c>
      <c r="B160" s="490">
        <v>42437</v>
      </c>
      <c r="C160" s="491" t="s">
        <v>1950</v>
      </c>
      <c r="D160" s="492">
        <v>5</v>
      </c>
      <c r="E160" s="491" t="s">
        <v>3500</v>
      </c>
      <c r="F160" s="493">
        <v>6.9999999999999999E-4</v>
      </c>
      <c r="G160" s="491"/>
      <c r="H160" s="491"/>
      <c r="I160" s="494" t="s">
        <v>4276</v>
      </c>
      <c r="J160" s="495" t="s">
        <v>4275</v>
      </c>
    </row>
    <row r="161" spans="1:10" s="251" customFormat="1" ht="12" customHeight="1" x14ac:dyDescent="0.15">
      <c r="A161" s="489" t="s">
        <v>1534</v>
      </c>
      <c r="B161" s="490">
        <v>42437</v>
      </c>
      <c r="C161" s="491" t="s">
        <v>1950</v>
      </c>
      <c r="D161" s="492">
        <v>4</v>
      </c>
      <c r="E161" s="491" t="s">
        <v>3500</v>
      </c>
      <c r="F161" s="493">
        <v>5.6388888888888884E-4</v>
      </c>
      <c r="G161" s="491"/>
      <c r="H161" s="491"/>
      <c r="I161" s="494" t="s">
        <v>4277</v>
      </c>
      <c r="J161" s="495" t="s">
        <v>4147</v>
      </c>
    </row>
    <row r="162" spans="1:10" s="251" customFormat="1" ht="12" customHeight="1" x14ac:dyDescent="0.15">
      <c r="A162" s="489" t="s">
        <v>4099</v>
      </c>
      <c r="B162" s="490">
        <v>42440</v>
      </c>
      <c r="C162" s="491" t="s">
        <v>4100</v>
      </c>
      <c r="D162" s="492">
        <v>5</v>
      </c>
      <c r="E162" s="491" t="s">
        <v>3501</v>
      </c>
      <c r="F162" s="493">
        <v>7.245370370370371E-4</v>
      </c>
      <c r="G162" s="491"/>
      <c r="H162" s="491"/>
      <c r="I162" s="494" t="s">
        <v>3632</v>
      </c>
      <c r="J162" s="495"/>
    </row>
    <row r="163" spans="1:10" s="252" customFormat="1" ht="12" customHeight="1" x14ac:dyDescent="0.15">
      <c r="A163" s="496" t="s">
        <v>2127</v>
      </c>
      <c r="B163" s="497">
        <v>42440</v>
      </c>
      <c r="C163" s="498" t="s">
        <v>3193</v>
      </c>
      <c r="D163" s="499">
        <v>3</v>
      </c>
      <c r="E163" s="498" t="s">
        <v>3500</v>
      </c>
      <c r="F163" s="500">
        <v>4.0972222222222218E-4</v>
      </c>
      <c r="G163" s="498"/>
      <c r="H163" s="498"/>
      <c r="I163" s="501" t="s">
        <v>3619</v>
      </c>
      <c r="J163" s="502"/>
    </row>
    <row r="164" spans="1:10" s="252" customFormat="1" ht="12" customHeight="1" x14ac:dyDescent="0.15">
      <c r="A164" s="496" t="s">
        <v>4121</v>
      </c>
      <c r="B164" s="497">
        <v>42440</v>
      </c>
      <c r="C164" s="498" t="s">
        <v>86</v>
      </c>
      <c r="D164" s="499">
        <v>5</v>
      </c>
      <c r="E164" s="498" t="s">
        <v>3500</v>
      </c>
      <c r="F164" s="500">
        <v>7.0486111111111107E-4</v>
      </c>
      <c r="G164" s="498"/>
      <c r="H164" s="498"/>
      <c r="I164" s="501" t="s">
        <v>4279</v>
      </c>
      <c r="J164" s="502" t="s">
        <v>4280</v>
      </c>
    </row>
    <row r="165" spans="1:10" s="252" customFormat="1" ht="12" customHeight="1" x14ac:dyDescent="0.15">
      <c r="A165" s="496" t="s">
        <v>3743</v>
      </c>
      <c r="B165" s="497">
        <v>42440</v>
      </c>
      <c r="C165" s="498" t="s">
        <v>86</v>
      </c>
      <c r="D165" s="499">
        <v>4</v>
      </c>
      <c r="E165" s="498" t="s">
        <v>3500</v>
      </c>
      <c r="F165" s="500">
        <v>5.5266203703703695E-4</v>
      </c>
      <c r="G165" s="498"/>
      <c r="H165" s="498"/>
      <c r="I165" s="501" t="s">
        <v>4281</v>
      </c>
      <c r="J165" s="502"/>
    </row>
    <row r="166" spans="1:10" s="251" customFormat="1" ht="12" customHeight="1" x14ac:dyDescent="0.15">
      <c r="A166" s="489" t="s">
        <v>4391</v>
      </c>
      <c r="B166" s="490">
        <v>42432</v>
      </c>
      <c r="C166" s="491" t="s">
        <v>4283</v>
      </c>
      <c r="D166" s="492">
        <v>3</v>
      </c>
      <c r="E166" s="491" t="s">
        <v>3500</v>
      </c>
      <c r="F166" s="493">
        <v>4.5138888888888892E-4</v>
      </c>
      <c r="G166" s="491"/>
      <c r="H166" s="491"/>
      <c r="I166" s="494" t="s">
        <v>4282</v>
      </c>
      <c r="J166" s="495" t="s">
        <v>4330</v>
      </c>
    </row>
    <row r="167" spans="1:10" s="251" customFormat="1" ht="12" customHeight="1" x14ac:dyDescent="0.15">
      <c r="A167" s="489" t="s">
        <v>2218</v>
      </c>
      <c r="B167" s="490">
        <v>42439</v>
      </c>
      <c r="C167" s="491" t="s">
        <v>3205</v>
      </c>
      <c r="D167" s="492">
        <v>3</v>
      </c>
      <c r="E167" s="491" t="s">
        <v>3500</v>
      </c>
      <c r="F167" s="493">
        <v>4.3287037037037035E-4</v>
      </c>
      <c r="G167" s="491"/>
      <c r="H167" s="491"/>
      <c r="I167" s="494" t="s">
        <v>4284</v>
      </c>
      <c r="J167" s="495" t="s">
        <v>4123</v>
      </c>
    </row>
    <row r="168" spans="1:10" s="251" customFormat="1" ht="12" customHeight="1" x14ac:dyDescent="0.15">
      <c r="A168" s="489" t="s">
        <v>2176</v>
      </c>
      <c r="B168" s="490">
        <v>42438</v>
      </c>
      <c r="C168" s="491" t="s">
        <v>2315</v>
      </c>
      <c r="D168" s="492">
        <v>5</v>
      </c>
      <c r="E168" s="491" t="s">
        <v>3501</v>
      </c>
      <c r="F168" s="493">
        <v>7.3530092592592581E-4</v>
      </c>
      <c r="G168" s="491"/>
      <c r="H168" s="491" t="s">
        <v>1249</v>
      </c>
      <c r="I168" s="494" t="s">
        <v>2361</v>
      </c>
      <c r="J168" s="495" t="s">
        <v>4285</v>
      </c>
    </row>
    <row r="169" spans="1:10" s="251" customFormat="1" ht="12" customHeight="1" x14ac:dyDescent="0.15">
      <c r="A169" s="489" t="s">
        <v>3203</v>
      </c>
      <c r="B169" s="490">
        <v>42438</v>
      </c>
      <c r="C169" s="491" t="s">
        <v>1948</v>
      </c>
      <c r="D169" s="492">
        <v>4</v>
      </c>
      <c r="E169" s="491" t="s">
        <v>3500</v>
      </c>
      <c r="F169" s="493">
        <v>5.7430555555555555E-4</v>
      </c>
      <c r="G169" s="491"/>
      <c r="H169" s="491"/>
      <c r="I169" s="494" t="s">
        <v>4286</v>
      </c>
      <c r="J169" s="495" t="s">
        <v>4287</v>
      </c>
    </row>
    <row r="170" spans="1:10" s="251" customFormat="1" ht="12" customHeight="1" x14ac:dyDescent="0.15">
      <c r="A170" s="489" t="s">
        <v>3204</v>
      </c>
      <c r="B170" s="490">
        <v>42441</v>
      </c>
      <c r="C170" s="491" t="s">
        <v>2293</v>
      </c>
      <c r="D170" s="492">
        <v>4</v>
      </c>
      <c r="E170" s="491" t="s">
        <v>3500</v>
      </c>
      <c r="F170" s="493">
        <v>5.5787037037037036E-4</v>
      </c>
      <c r="G170" s="491"/>
      <c r="H170" s="491"/>
      <c r="I170" s="494" t="s">
        <v>4314</v>
      </c>
      <c r="J170" s="495" t="s">
        <v>4313</v>
      </c>
    </row>
    <row r="171" spans="1:10" s="251" customFormat="1" ht="12" customHeight="1" x14ac:dyDescent="0.15">
      <c r="A171" s="489" t="s">
        <v>57</v>
      </c>
      <c r="B171" s="490">
        <v>42441</v>
      </c>
      <c r="C171" s="491" t="s">
        <v>2293</v>
      </c>
      <c r="D171" s="492">
        <v>4</v>
      </c>
      <c r="E171" s="491" t="s">
        <v>3500</v>
      </c>
      <c r="F171" s="493">
        <v>5.9259259259259258E-4</v>
      </c>
      <c r="G171" s="491"/>
      <c r="H171" s="491"/>
      <c r="I171" s="494" t="s">
        <v>4315</v>
      </c>
      <c r="J171" s="495"/>
    </row>
    <row r="172" spans="1:10" s="251" customFormat="1" ht="12" customHeight="1" x14ac:dyDescent="0.15">
      <c r="A172" s="489" t="s">
        <v>1953</v>
      </c>
      <c r="B172" s="490">
        <v>42441</v>
      </c>
      <c r="C172" s="491" t="s">
        <v>2317</v>
      </c>
      <c r="D172" s="492">
        <v>3</v>
      </c>
      <c r="E172" s="491" t="s">
        <v>3500</v>
      </c>
      <c r="F172" s="493">
        <v>4.3287037037037035E-4</v>
      </c>
      <c r="G172" s="491"/>
      <c r="H172" s="491"/>
      <c r="I172" s="494" t="s">
        <v>3345</v>
      </c>
      <c r="J172" s="495"/>
    </row>
    <row r="173" spans="1:10" s="251" customFormat="1" ht="12" customHeight="1" x14ac:dyDescent="0.15">
      <c r="A173" s="489" t="s">
        <v>1943</v>
      </c>
      <c r="B173" s="490">
        <v>42441</v>
      </c>
      <c r="C173" s="491" t="s">
        <v>1955</v>
      </c>
      <c r="D173" s="492">
        <v>4</v>
      </c>
      <c r="E173" s="491" t="s">
        <v>3500</v>
      </c>
      <c r="F173" s="493">
        <v>5.5555555555555556E-4</v>
      </c>
      <c r="G173" s="491"/>
      <c r="H173" s="491"/>
      <c r="I173" s="494" t="s">
        <v>4316</v>
      </c>
      <c r="J173" s="495" t="s">
        <v>4317</v>
      </c>
    </row>
    <row r="174" spans="1:10" s="251" customFormat="1" ht="12" customHeight="1" x14ac:dyDescent="0.15">
      <c r="A174" s="489" t="s">
        <v>1558</v>
      </c>
      <c r="B174" s="490">
        <v>42441</v>
      </c>
      <c r="C174" s="491" t="s">
        <v>86</v>
      </c>
      <c r="D174" s="492">
        <v>5</v>
      </c>
      <c r="E174" s="491" t="s">
        <v>3500</v>
      </c>
      <c r="F174" s="493">
        <v>7.4363425925925931E-4</v>
      </c>
      <c r="G174" s="491"/>
      <c r="H174" s="491"/>
      <c r="I174" s="494" t="s">
        <v>4318</v>
      </c>
      <c r="J174" s="495"/>
    </row>
    <row r="175" spans="1:10" s="251" customFormat="1" ht="12" customHeight="1" x14ac:dyDescent="0.15">
      <c r="A175" s="489" t="s">
        <v>3263</v>
      </c>
      <c r="B175" s="490">
        <v>42441</v>
      </c>
      <c r="C175" s="491" t="s">
        <v>3193</v>
      </c>
      <c r="D175" s="492">
        <v>4</v>
      </c>
      <c r="E175" s="491" t="s">
        <v>3500</v>
      </c>
      <c r="F175" s="493">
        <v>5.5787037037037036E-4</v>
      </c>
      <c r="G175" s="491"/>
      <c r="H175" s="491"/>
      <c r="I175" s="494" t="s">
        <v>4319</v>
      </c>
      <c r="J175" s="495" t="s">
        <v>4320</v>
      </c>
    </row>
    <row r="176" spans="1:10" s="251" customFormat="1" ht="12" customHeight="1" x14ac:dyDescent="0.15">
      <c r="A176" s="489" t="s">
        <v>3333</v>
      </c>
      <c r="B176" s="490">
        <v>42441</v>
      </c>
      <c r="C176" s="491" t="s">
        <v>4255</v>
      </c>
      <c r="D176" s="492">
        <v>5</v>
      </c>
      <c r="E176" s="491" t="s">
        <v>3500</v>
      </c>
      <c r="F176" s="493">
        <v>7.175925925925927E-4</v>
      </c>
      <c r="G176" s="491"/>
      <c r="H176" s="491"/>
      <c r="I176" s="494" t="s">
        <v>4327</v>
      </c>
      <c r="J176" s="495"/>
    </row>
    <row r="177" spans="1:10" s="251" customFormat="1" ht="12" customHeight="1" x14ac:dyDescent="0.15">
      <c r="A177" s="489" t="s">
        <v>3430</v>
      </c>
      <c r="B177" s="490">
        <v>42442</v>
      </c>
      <c r="C177" s="491" t="s">
        <v>1035</v>
      </c>
      <c r="D177" s="492">
        <v>3</v>
      </c>
      <c r="E177" s="491" t="s">
        <v>3500</v>
      </c>
      <c r="F177" s="493">
        <v>4.3287037037037035E-4</v>
      </c>
      <c r="G177" s="491"/>
      <c r="H177" s="491"/>
      <c r="I177" s="494" t="s">
        <v>4328</v>
      </c>
      <c r="J177" s="495" t="s">
        <v>4329</v>
      </c>
    </row>
    <row r="178" spans="1:10" s="251" customFormat="1" ht="12" customHeight="1" thickBot="1" x14ac:dyDescent="0.2">
      <c r="A178" s="489" t="s">
        <v>3154</v>
      </c>
      <c r="B178" s="490">
        <v>42442</v>
      </c>
      <c r="C178" s="491" t="s">
        <v>1950</v>
      </c>
      <c r="D178" s="492">
        <v>4</v>
      </c>
      <c r="E178" s="491" t="s">
        <v>3500</v>
      </c>
      <c r="F178" s="493">
        <v>5.6307870370370366E-4</v>
      </c>
      <c r="G178" s="491"/>
      <c r="H178" s="491"/>
      <c r="I178" s="491" t="s">
        <v>4331</v>
      </c>
      <c r="J178" s="495" t="s">
        <v>4332</v>
      </c>
    </row>
    <row r="179" spans="1:10" s="251" customFormat="1" ht="12" customHeight="1" x14ac:dyDescent="0.15">
      <c r="A179" s="540" t="s">
        <v>2178</v>
      </c>
      <c r="B179" s="253">
        <v>42448</v>
      </c>
      <c r="C179" s="254" t="s">
        <v>2315</v>
      </c>
      <c r="D179" s="255">
        <v>3</v>
      </c>
      <c r="E179" s="342" t="s">
        <v>3501</v>
      </c>
      <c r="F179" s="256">
        <v>4.2152777777777778E-4</v>
      </c>
      <c r="G179" s="254"/>
      <c r="H179" s="254"/>
      <c r="I179" s="257" t="s">
        <v>4356</v>
      </c>
      <c r="J179" s="258"/>
    </row>
    <row r="180" spans="1:10" s="251" customFormat="1" ht="12" customHeight="1" x14ac:dyDescent="0.15">
      <c r="A180" s="489" t="s">
        <v>57</v>
      </c>
      <c r="B180" s="490">
        <v>42448</v>
      </c>
      <c r="C180" s="491" t="s">
        <v>2293</v>
      </c>
      <c r="D180" s="492">
        <v>4</v>
      </c>
      <c r="E180" s="491" t="s">
        <v>3500</v>
      </c>
      <c r="F180" s="493">
        <v>5.6944444444444447E-4</v>
      </c>
      <c r="G180" s="491"/>
      <c r="H180" s="491"/>
      <c r="I180" s="494" t="s">
        <v>4357</v>
      </c>
      <c r="J180" s="495"/>
    </row>
    <row r="181" spans="1:10" s="251" customFormat="1" ht="12" customHeight="1" x14ac:dyDescent="0.15">
      <c r="A181" s="489" t="s">
        <v>1534</v>
      </c>
      <c r="B181" s="490">
        <v>42448</v>
      </c>
      <c r="C181" s="491" t="s">
        <v>1950</v>
      </c>
      <c r="D181" s="492">
        <v>5</v>
      </c>
      <c r="E181" s="491" t="s">
        <v>3500</v>
      </c>
      <c r="F181" s="493">
        <v>7.2141203703703701E-4</v>
      </c>
      <c r="G181" s="491"/>
      <c r="H181" s="491"/>
      <c r="I181" s="494" t="s">
        <v>4358</v>
      </c>
      <c r="J181" s="495"/>
    </row>
    <row r="182" spans="1:10" s="251" customFormat="1" ht="12" customHeight="1" x14ac:dyDescent="0.15">
      <c r="A182" s="489" t="s">
        <v>1943</v>
      </c>
      <c r="B182" s="490">
        <v>42448</v>
      </c>
      <c r="C182" s="491" t="s">
        <v>1955</v>
      </c>
      <c r="D182" s="492">
        <v>4</v>
      </c>
      <c r="E182" s="491" t="s">
        <v>3500</v>
      </c>
      <c r="F182" s="493">
        <v>5.7407407407407407E-4</v>
      </c>
      <c r="G182" s="491" t="s">
        <v>961</v>
      </c>
      <c r="H182" s="491"/>
      <c r="I182" s="494" t="s">
        <v>3985</v>
      </c>
      <c r="J182" s="495"/>
    </row>
    <row r="183" spans="1:10" s="251" customFormat="1" ht="12" customHeight="1" x14ac:dyDescent="0.15">
      <c r="A183" s="489" t="s">
        <v>3203</v>
      </c>
      <c r="B183" s="490">
        <v>42448</v>
      </c>
      <c r="C183" s="491" t="s">
        <v>1948</v>
      </c>
      <c r="D183" s="492">
        <v>5</v>
      </c>
      <c r="E183" s="491" t="s">
        <v>3500</v>
      </c>
      <c r="F183" s="493">
        <v>7.2743055555555571E-4</v>
      </c>
      <c r="G183" s="491"/>
      <c r="H183" s="491"/>
      <c r="I183" s="494" t="s">
        <v>4359</v>
      </c>
      <c r="J183" s="495"/>
    </row>
    <row r="184" spans="1:10" s="251" customFormat="1" ht="12" customHeight="1" x14ac:dyDescent="0.15">
      <c r="A184" s="489" t="s">
        <v>3333</v>
      </c>
      <c r="B184" s="490">
        <v>42448</v>
      </c>
      <c r="C184" s="491" t="s">
        <v>4255</v>
      </c>
      <c r="D184" s="492">
        <v>5</v>
      </c>
      <c r="E184" s="491" t="s">
        <v>3500</v>
      </c>
      <c r="F184" s="493">
        <v>6.9675925925925938E-4</v>
      </c>
      <c r="G184" s="491"/>
      <c r="H184" s="491"/>
      <c r="I184" s="494" t="s">
        <v>4263</v>
      </c>
      <c r="J184" s="495"/>
    </row>
    <row r="185" spans="1:10" s="251" customFormat="1" ht="12" customHeight="1" x14ac:dyDescent="0.15">
      <c r="A185" s="489" t="s">
        <v>3899</v>
      </c>
      <c r="B185" s="490">
        <v>42448</v>
      </c>
      <c r="C185" s="491" t="s">
        <v>1948</v>
      </c>
      <c r="D185" s="492">
        <v>5</v>
      </c>
      <c r="E185" s="491" t="s">
        <v>3500</v>
      </c>
      <c r="F185" s="493">
        <v>7.2858796296296289E-4</v>
      </c>
      <c r="G185" s="491"/>
      <c r="H185" s="491"/>
      <c r="I185" s="494" t="s">
        <v>3896</v>
      </c>
      <c r="J185" s="495"/>
    </row>
    <row r="186" spans="1:10" s="251" customFormat="1" ht="12" customHeight="1" x14ac:dyDescent="0.15">
      <c r="A186" s="489" t="s">
        <v>3183</v>
      </c>
      <c r="B186" s="490">
        <v>42448</v>
      </c>
      <c r="C186" s="491" t="s">
        <v>3744</v>
      </c>
      <c r="D186" s="492">
        <v>4</v>
      </c>
      <c r="E186" s="491" t="s">
        <v>3500</v>
      </c>
      <c r="F186" s="493">
        <v>5.6423611111111117E-4</v>
      </c>
      <c r="G186" s="491"/>
      <c r="H186" s="494"/>
      <c r="I186" s="494" t="s">
        <v>4053</v>
      </c>
      <c r="J186" s="495"/>
    </row>
    <row r="187" spans="1:10" s="251" customFormat="1" ht="12" customHeight="1" x14ac:dyDescent="0.15">
      <c r="A187" s="489" t="s">
        <v>1295</v>
      </c>
      <c r="B187" s="490">
        <v>42448</v>
      </c>
      <c r="C187" s="491" t="s">
        <v>1945</v>
      </c>
      <c r="D187" s="492">
        <v>5</v>
      </c>
      <c r="E187" s="491" t="s">
        <v>3500</v>
      </c>
      <c r="F187" s="493">
        <v>7.1990740740740739E-4</v>
      </c>
      <c r="G187" s="491"/>
      <c r="H187" s="491"/>
      <c r="I187" s="494" t="s">
        <v>4144</v>
      </c>
      <c r="J187" s="495" t="s">
        <v>2383</v>
      </c>
    </row>
    <row r="188" spans="1:10" s="251" customFormat="1" ht="12" customHeight="1" x14ac:dyDescent="0.15">
      <c r="A188" s="489" t="s">
        <v>2467</v>
      </c>
      <c r="B188" s="490">
        <v>42447</v>
      </c>
      <c r="C188" s="491" t="s">
        <v>4360</v>
      </c>
      <c r="D188" s="492">
        <v>4</v>
      </c>
      <c r="E188" s="491" t="s">
        <v>3500</v>
      </c>
      <c r="F188" s="493">
        <v>5.9027777777777778E-4</v>
      </c>
      <c r="G188" s="491"/>
      <c r="H188" s="491"/>
      <c r="I188" s="494" t="s">
        <v>2232</v>
      </c>
      <c r="J188" s="495" t="s">
        <v>4361</v>
      </c>
    </row>
    <row r="189" spans="1:10" s="251" customFormat="1" ht="12" customHeight="1" x14ac:dyDescent="0.15">
      <c r="A189" s="489" t="s">
        <v>4532</v>
      </c>
      <c r="B189" s="490">
        <v>42447</v>
      </c>
      <c r="C189" s="491" t="s">
        <v>2293</v>
      </c>
      <c r="D189" s="492">
        <v>3</v>
      </c>
      <c r="E189" s="491" t="s">
        <v>3500</v>
      </c>
      <c r="F189" s="493">
        <v>4.3750000000000001E-4</v>
      </c>
      <c r="G189" s="491"/>
      <c r="H189" s="491"/>
      <c r="I189" s="494" t="s">
        <v>2303</v>
      </c>
      <c r="J189" s="495"/>
    </row>
    <row r="190" spans="1:10" s="251" customFormat="1" ht="12" customHeight="1" x14ac:dyDescent="0.15">
      <c r="A190" s="489" t="s">
        <v>1558</v>
      </c>
      <c r="B190" s="490">
        <v>42447</v>
      </c>
      <c r="C190" s="491" t="s">
        <v>86</v>
      </c>
      <c r="D190" s="492">
        <v>4</v>
      </c>
      <c r="E190" s="491" t="s">
        <v>3500</v>
      </c>
      <c r="F190" s="493">
        <v>5.7060185185185187E-4</v>
      </c>
      <c r="G190" s="491"/>
      <c r="H190" s="491"/>
      <c r="I190" s="494" t="s">
        <v>4362</v>
      </c>
      <c r="J190" s="495"/>
    </row>
    <row r="191" spans="1:10" s="251" customFormat="1" ht="12" customHeight="1" x14ac:dyDescent="0.15">
      <c r="A191" s="489" t="s">
        <v>4121</v>
      </c>
      <c r="B191" s="490">
        <v>42447</v>
      </c>
      <c r="C191" s="491" t="s">
        <v>86</v>
      </c>
      <c r="D191" s="492">
        <v>5</v>
      </c>
      <c r="E191" s="491" t="s">
        <v>3500</v>
      </c>
      <c r="F191" s="493">
        <v>7.193287037037038E-4</v>
      </c>
      <c r="G191" s="491"/>
      <c r="H191" s="491"/>
      <c r="I191" s="494" t="s">
        <v>4363</v>
      </c>
      <c r="J191" s="495"/>
    </row>
    <row r="192" spans="1:10" s="251" customFormat="1" ht="12" customHeight="1" x14ac:dyDescent="0.15">
      <c r="A192" s="489" t="s">
        <v>3743</v>
      </c>
      <c r="B192" s="490">
        <v>42447</v>
      </c>
      <c r="C192" s="491" t="s">
        <v>86</v>
      </c>
      <c r="D192" s="492">
        <v>5</v>
      </c>
      <c r="E192" s="491" t="s">
        <v>3500</v>
      </c>
      <c r="F192" s="493">
        <v>7.1354166666666669E-4</v>
      </c>
      <c r="G192" s="491"/>
      <c r="H192" s="491"/>
      <c r="I192" s="494" t="s">
        <v>4328</v>
      </c>
      <c r="J192" s="495"/>
    </row>
    <row r="193" spans="1:10" s="252" customFormat="1" ht="12" customHeight="1" x14ac:dyDescent="0.15">
      <c r="A193" s="496" t="s">
        <v>2218</v>
      </c>
      <c r="B193" s="497">
        <v>42447</v>
      </c>
      <c r="C193" s="498" t="s">
        <v>3205</v>
      </c>
      <c r="D193" s="499">
        <v>3</v>
      </c>
      <c r="E193" s="498" t="s">
        <v>3500</v>
      </c>
      <c r="F193" s="500">
        <v>4.259259259259259E-4</v>
      </c>
      <c r="G193" s="498"/>
      <c r="H193" s="498"/>
      <c r="I193" s="501" t="s">
        <v>2231</v>
      </c>
      <c r="J193" s="502"/>
    </row>
    <row r="194" spans="1:10" s="251" customFormat="1" ht="12" customHeight="1" x14ac:dyDescent="0.15">
      <c r="A194" s="552" t="s">
        <v>321</v>
      </c>
      <c r="B194" s="490">
        <v>42445</v>
      </c>
      <c r="C194" s="491" t="s">
        <v>2293</v>
      </c>
      <c r="D194" s="492">
        <v>4</v>
      </c>
      <c r="E194" s="491" t="s">
        <v>3500</v>
      </c>
      <c r="F194" s="493">
        <v>5.9027777777777778E-4</v>
      </c>
      <c r="G194" s="491" t="s">
        <v>961</v>
      </c>
      <c r="H194" s="491"/>
      <c r="I194" s="494" t="s">
        <v>4284</v>
      </c>
      <c r="J194" s="495"/>
    </row>
    <row r="195" spans="1:10" s="597" customFormat="1" ht="12" customHeight="1" x14ac:dyDescent="0.15">
      <c r="A195" s="590" t="s">
        <v>3318</v>
      </c>
      <c r="B195" s="591">
        <v>42445</v>
      </c>
      <c r="C195" s="592" t="s">
        <v>4278</v>
      </c>
      <c r="D195" s="593">
        <v>3</v>
      </c>
      <c r="E195" s="592" t="s">
        <v>3500</v>
      </c>
      <c r="F195" s="594">
        <v>4.1898148148148155E-4</v>
      </c>
      <c r="G195" s="592"/>
      <c r="H195" s="592" t="s">
        <v>1249</v>
      </c>
      <c r="I195" s="595" t="s">
        <v>4364</v>
      </c>
      <c r="J195" s="596" t="s">
        <v>4365</v>
      </c>
    </row>
    <row r="196" spans="1:10" s="251" customFormat="1" ht="12" customHeight="1" x14ac:dyDescent="0.15">
      <c r="A196" s="489" t="s">
        <v>2176</v>
      </c>
      <c r="B196" s="490">
        <v>42445</v>
      </c>
      <c r="C196" s="491" t="s">
        <v>2315</v>
      </c>
      <c r="D196" s="492">
        <v>5</v>
      </c>
      <c r="E196" s="491" t="s">
        <v>3500</v>
      </c>
      <c r="F196" s="493">
        <v>7.337962962962963E-4</v>
      </c>
      <c r="G196" s="491" t="s">
        <v>4366</v>
      </c>
      <c r="H196" s="491"/>
      <c r="I196" s="494" t="s">
        <v>4288</v>
      </c>
      <c r="J196" s="495"/>
    </row>
    <row r="197" spans="1:10" s="251" customFormat="1" ht="12" customHeight="1" x14ac:dyDescent="0.15">
      <c r="A197" s="489" t="s">
        <v>1670</v>
      </c>
      <c r="B197" s="490">
        <v>42445</v>
      </c>
      <c r="C197" s="491" t="s">
        <v>4052</v>
      </c>
      <c r="D197" s="492">
        <v>4</v>
      </c>
      <c r="E197" s="491" t="s">
        <v>3500</v>
      </c>
      <c r="F197" s="493">
        <v>5.6944444444444447E-4</v>
      </c>
      <c r="G197" s="491"/>
      <c r="H197" s="491" t="s">
        <v>1249</v>
      </c>
      <c r="I197" s="494" t="s">
        <v>4368</v>
      </c>
      <c r="J197" s="495" t="s">
        <v>3322</v>
      </c>
    </row>
    <row r="198" spans="1:10" s="597" customFormat="1" ht="12" customHeight="1" x14ac:dyDescent="0.15">
      <c r="A198" s="590" t="s">
        <v>2425</v>
      </c>
      <c r="B198" s="591">
        <v>42448</v>
      </c>
      <c r="C198" s="592" t="s">
        <v>4369</v>
      </c>
      <c r="D198" s="593">
        <v>3</v>
      </c>
      <c r="E198" s="592" t="s">
        <v>3500</v>
      </c>
      <c r="F198" s="594">
        <v>4.4004629629629629E-4</v>
      </c>
      <c r="G198" s="592"/>
      <c r="H198" s="592"/>
      <c r="I198" s="595" t="s">
        <v>4098</v>
      </c>
      <c r="J198" s="596" t="s">
        <v>4370</v>
      </c>
    </row>
    <row r="199" spans="1:10" s="251" customFormat="1" ht="12" customHeight="1" thickBot="1" x14ac:dyDescent="0.2">
      <c r="A199" s="489" t="s">
        <v>58</v>
      </c>
      <c r="B199" s="490">
        <v>42449</v>
      </c>
      <c r="C199" s="491" t="s">
        <v>1947</v>
      </c>
      <c r="D199" s="492">
        <v>4</v>
      </c>
      <c r="E199" s="491" t="s">
        <v>3500</v>
      </c>
      <c r="F199" s="493">
        <v>5.7488425925925925E-4</v>
      </c>
      <c r="G199" s="491"/>
      <c r="H199" s="491"/>
      <c r="I199" s="491" t="s">
        <v>4377</v>
      </c>
      <c r="J199" s="495"/>
    </row>
    <row r="200" spans="1:10" s="251" customFormat="1" ht="12" customHeight="1" x14ac:dyDescent="0.15">
      <c r="A200" s="540" t="s">
        <v>1120</v>
      </c>
      <c r="B200" s="253">
        <v>42451</v>
      </c>
      <c r="C200" s="254" t="s">
        <v>1950</v>
      </c>
      <c r="D200" s="255">
        <v>4</v>
      </c>
      <c r="E200" s="342" t="s">
        <v>3500</v>
      </c>
      <c r="F200" s="256">
        <v>5.8645833333333336E-4</v>
      </c>
      <c r="G200" s="254"/>
      <c r="H200" s="254"/>
      <c r="I200" s="257" t="s">
        <v>4392</v>
      </c>
      <c r="J200" s="258"/>
    </row>
    <row r="201" spans="1:10" s="252" customFormat="1" ht="12" customHeight="1" x14ac:dyDescent="0.15">
      <c r="A201" s="496" t="s">
        <v>1953</v>
      </c>
      <c r="B201" s="497">
        <v>42448</v>
      </c>
      <c r="C201" s="498" t="s">
        <v>2317</v>
      </c>
      <c r="D201" s="499">
        <v>4</v>
      </c>
      <c r="E201" s="498" t="s">
        <v>3500</v>
      </c>
      <c r="F201" s="500">
        <v>5.6944444444444447E-4</v>
      </c>
      <c r="G201" s="498"/>
      <c r="H201" s="498"/>
      <c r="I201" s="501" t="s">
        <v>4393</v>
      </c>
      <c r="J201" s="502" t="s">
        <v>4398</v>
      </c>
    </row>
    <row r="202" spans="1:10" s="251" customFormat="1" ht="12" customHeight="1" x14ac:dyDescent="0.15">
      <c r="A202" s="489" t="s">
        <v>1670</v>
      </c>
      <c r="B202" s="490">
        <v>42452</v>
      </c>
      <c r="C202" s="491" t="s">
        <v>4052</v>
      </c>
      <c r="D202" s="492">
        <v>5</v>
      </c>
      <c r="E202" s="491" t="s">
        <v>3500</v>
      </c>
      <c r="F202" s="493">
        <v>7.2685185185185179E-4</v>
      </c>
      <c r="G202" s="491"/>
      <c r="H202" s="491"/>
      <c r="I202" s="494" t="s">
        <v>4394</v>
      </c>
      <c r="J202" s="495"/>
    </row>
    <row r="203" spans="1:10" s="251" customFormat="1" ht="12" customHeight="1" x14ac:dyDescent="0.15">
      <c r="A203" s="489" t="s">
        <v>3204</v>
      </c>
      <c r="B203" s="490">
        <v>42452</v>
      </c>
      <c r="C203" s="491" t="s">
        <v>2293</v>
      </c>
      <c r="D203" s="492">
        <v>5</v>
      </c>
      <c r="E203" s="491" t="s">
        <v>3500</v>
      </c>
      <c r="F203" s="493">
        <v>7.2685185185185179E-4</v>
      </c>
      <c r="G203" s="491"/>
      <c r="H203" s="491"/>
      <c r="I203" s="494" t="s">
        <v>4395</v>
      </c>
      <c r="J203" s="495"/>
    </row>
    <row r="204" spans="1:10" s="251" customFormat="1" ht="12" customHeight="1" x14ac:dyDescent="0.15">
      <c r="A204" s="489" t="s">
        <v>4396</v>
      </c>
      <c r="B204" s="490">
        <v>42452</v>
      </c>
      <c r="C204" s="491" t="s">
        <v>2315</v>
      </c>
      <c r="D204" s="492">
        <v>3</v>
      </c>
      <c r="E204" s="491" t="s">
        <v>3500</v>
      </c>
      <c r="F204" s="493">
        <v>4.5370370370370378E-4</v>
      </c>
      <c r="G204" s="491"/>
      <c r="H204" s="491"/>
      <c r="I204" s="494" t="s">
        <v>3185</v>
      </c>
      <c r="J204" s="495" t="s">
        <v>4397</v>
      </c>
    </row>
    <row r="205" spans="1:10" s="252" customFormat="1" ht="12" customHeight="1" x14ac:dyDescent="0.15">
      <c r="A205" s="496" t="s">
        <v>1529</v>
      </c>
      <c r="B205" s="497">
        <v>42452</v>
      </c>
      <c r="C205" s="498" t="s">
        <v>2234</v>
      </c>
      <c r="D205" s="499">
        <v>5</v>
      </c>
      <c r="E205" s="498" t="s">
        <v>3500</v>
      </c>
      <c r="F205" s="500">
        <v>7.1354166666666669E-4</v>
      </c>
      <c r="G205" s="498"/>
      <c r="H205" s="498"/>
      <c r="I205" s="501" t="s">
        <v>4399</v>
      </c>
      <c r="J205" s="502" t="s">
        <v>4400</v>
      </c>
    </row>
    <row r="206" spans="1:10" s="251" customFormat="1" ht="12" customHeight="1" x14ac:dyDescent="0.15">
      <c r="A206" s="489" t="s">
        <v>3182</v>
      </c>
      <c r="B206" s="490">
        <v>42453</v>
      </c>
      <c r="C206" s="491" t="s">
        <v>1950</v>
      </c>
      <c r="D206" s="492">
        <v>4</v>
      </c>
      <c r="E206" s="491" t="s">
        <v>3500</v>
      </c>
      <c r="F206" s="493">
        <v>5.5949074074074082E-4</v>
      </c>
      <c r="G206" s="491"/>
      <c r="H206" s="491"/>
      <c r="I206" s="494" t="s">
        <v>4401</v>
      </c>
      <c r="J206" s="495"/>
    </row>
    <row r="207" spans="1:10" s="252" customFormat="1" ht="12" customHeight="1" x14ac:dyDescent="0.15">
      <c r="A207" s="496" t="s">
        <v>4099</v>
      </c>
      <c r="B207" s="497">
        <v>42453</v>
      </c>
      <c r="C207" s="498" t="s">
        <v>4100</v>
      </c>
      <c r="D207" s="499">
        <v>6</v>
      </c>
      <c r="E207" s="498" t="s">
        <v>3500</v>
      </c>
      <c r="F207" s="500">
        <v>8.6805555555555551E-4</v>
      </c>
      <c r="G207" s="498"/>
      <c r="H207" s="498"/>
      <c r="I207" s="501" t="s">
        <v>3977</v>
      </c>
      <c r="J207" s="502"/>
    </row>
    <row r="208" spans="1:10" s="251" customFormat="1" ht="12" customHeight="1" x14ac:dyDescent="0.15">
      <c r="A208" s="489" t="s">
        <v>1666</v>
      </c>
      <c r="B208" s="490">
        <v>42455</v>
      </c>
      <c r="C208" s="491" t="s">
        <v>1035</v>
      </c>
      <c r="D208" s="492">
        <v>3</v>
      </c>
      <c r="E208" s="491" t="s">
        <v>3500</v>
      </c>
      <c r="F208" s="493">
        <v>4.1666666666666669E-4</v>
      </c>
      <c r="G208" s="491"/>
      <c r="H208" s="491"/>
      <c r="I208" s="494" t="s">
        <v>4406</v>
      </c>
      <c r="J208" s="495" t="s">
        <v>4407</v>
      </c>
    </row>
    <row r="209" spans="1:10" s="251" customFormat="1" ht="12" customHeight="1" x14ac:dyDescent="0.15">
      <c r="A209" s="489" t="s">
        <v>2155</v>
      </c>
      <c r="B209" s="490">
        <v>42455</v>
      </c>
      <c r="C209" s="491" t="s">
        <v>2293</v>
      </c>
      <c r="D209" s="492">
        <v>4</v>
      </c>
      <c r="E209" s="491" t="s">
        <v>3500</v>
      </c>
      <c r="F209" s="493">
        <v>5.6250000000000007E-4</v>
      </c>
      <c r="G209" s="491"/>
      <c r="H209" s="491"/>
      <c r="I209" s="494" t="s">
        <v>4408</v>
      </c>
      <c r="J209" s="495"/>
    </row>
    <row r="210" spans="1:10" s="251" customFormat="1" ht="12" customHeight="1" x14ac:dyDescent="0.15">
      <c r="A210" s="489" t="s">
        <v>57</v>
      </c>
      <c r="B210" s="490">
        <v>42455</v>
      </c>
      <c r="C210" s="491" t="s">
        <v>2293</v>
      </c>
      <c r="D210" s="492">
        <v>5</v>
      </c>
      <c r="E210" s="491" t="s">
        <v>3501</v>
      </c>
      <c r="F210" s="493">
        <v>7.407407407407407E-4</v>
      </c>
      <c r="G210" s="491"/>
      <c r="H210" s="491"/>
      <c r="I210" s="494" t="s">
        <v>4409</v>
      </c>
      <c r="J210" s="495"/>
    </row>
    <row r="211" spans="1:10" s="251" customFormat="1" ht="12" customHeight="1" x14ac:dyDescent="0.15">
      <c r="A211" s="489" t="s">
        <v>1953</v>
      </c>
      <c r="B211" s="490">
        <v>42455</v>
      </c>
      <c r="C211" s="491" t="s">
        <v>2317</v>
      </c>
      <c r="D211" s="492">
        <v>4</v>
      </c>
      <c r="E211" s="491" t="s">
        <v>3500</v>
      </c>
      <c r="F211" s="493">
        <v>5.6944444444444447E-4</v>
      </c>
      <c r="G211" s="491"/>
      <c r="H211" s="491"/>
      <c r="I211" s="494" t="s">
        <v>4410</v>
      </c>
      <c r="J211" s="495"/>
    </row>
    <row r="212" spans="1:10" s="251" customFormat="1" ht="12" customHeight="1" x14ac:dyDescent="0.15">
      <c r="A212" s="489" t="s">
        <v>3181</v>
      </c>
      <c r="B212" s="490">
        <v>42455</v>
      </c>
      <c r="C212" s="491" t="s">
        <v>4052</v>
      </c>
      <c r="D212" s="492">
        <v>4</v>
      </c>
      <c r="E212" s="491" t="s">
        <v>3500</v>
      </c>
      <c r="F212" s="493">
        <v>6.018518518518519E-4</v>
      </c>
      <c r="G212" s="491"/>
      <c r="H212" s="491"/>
      <c r="I212" s="494" t="s">
        <v>4411</v>
      </c>
      <c r="J212" s="495" t="s">
        <v>4412</v>
      </c>
    </row>
    <row r="213" spans="1:10" s="251" customFormat="1" ht="12" customHeight="1" x14ac:dyDescent="0.15">
      <c r="A213" s="489" t="s">
        <v>2365</v>
      </c>
      <c r="B213" s="490">
        <v>42455</v>
      </c>
      <c r="C213" s="491" t="s">
        <v>4417</v>
      </c>
      <c r="D213" s="492">
        <v>3</v>
      </c>
      <c r="E213" s="491" t="s">
        <v>3500</v>
      </c>
      <c r="F213" s="493">
        <v>4.5601851851851852E-4</v>
      </c>
      <c r="G213" s="491"/>
      <c r="H213" s="491"/>
      <c r="I213" s="494" t="s">
        <v>4418</v>
      </c>
      <c r="J213" s="495" t="s">
        <v>4419</v>
      </c>
    </row>
    <row r="214" spans="1:10" s="251" customFormat="1" ht="12" customHeight="1" thickBot="1" x14ac:dyDescent="0.2">
      <c r="A214" s="489" t="s">
        <v>3203</v>
      </c>
      <c r="B214" s="490">
        <v>42456</v>
      </c>
      <c r="C214" s="491" t="s">
        <v>1948</v>
      </c>
      <c r="D214" s="492">
        <v>5</v>
      </c>
      <c r="E214" s="491" t="s">
        <v>3500</v>
      </c>
      <c r="F214" s="493">
        <v>7.1909722222222221E-4</v>
      </c>
      <c r="G214" s="491"/>
      <c r="H214" s="491"/>
      <c r="I214" s="491" t="s">
        <v>4422</v>
      </c>
      <c r="J214" s="495"/>
    </row>
    <row r="215" spans="1:10" s="251" customFormat="1" ht="12" customHeight="1" x14ac:dyDescent="0.15">
      <c r="A215" s="540" t="s">
        <v>2278</v>
      </c>
      <c r="B215" s="253">
        <v>42457</v>
      </c>
      <c r="C215" s="254" t="s">
        <v>4000</v>
      </c>
      <c r="D215" s="255">
        <v>4</v>
      </c>
      <c r="E215" s="342" t="s">
        <v>3500</v>
      </c>
      <c r="F215" s="256">
        <v>5.8564814814814818E-4</v>
      </c>
      <c r="G215" s="254"/>
      <c r="H215" s="254"/>
      <c r="I215" s="257" t="s">
        <v>964</v>
      </c>
      <c r="J215" s="258"/>
    </row>
    <row r="216" spans="1:10" s="251" customFormat="1" ht="12" customHeight="1" x14ac:dyDescent="0.15">
      <c r="A216" s="489" t="s">
        <v>1942</v>
      </c>
      <c r="B216" s="490">
        <v>42458</v>
      </c>
      <c r="C216" s="491" t="s">
        <v>1945</v>
      </c>
      <c r="D216" s="492">
        <v>3</v>
      </c>
      <c r="E216" s="491" t="s">
        <v>3500</v>
      </c>
      <c r="F216" s="493">
        <v>4.4675925925925921E-4</v>
      </c>
      <c r="G216" s="491"/>
      <c r="H216" s="491"/>
      <c r="I216" s="494" t="s">
        <v>2515</v>
      </c>
      <c r="J216" s="495"/>
    </row>
    <row r="217" spans="1:10" s="252" customFormat="1" ht="12" customHeight="1" x14ac:dyDescent="0.15">
      <c r="A217" s="496" t="s">
        <v>1295</v>
      </c>
      <c r="B217" s="497">
        <v>42458</v>
      </c>
      <c r="C217" s="498" t="s">
        <v>1945</v>
      </c>
      <c r="D217" s="499">
        <v>6</v>
      </c>
      <c r="E217" s="498" t="s">
        <v>3500</v>
      </c>
      <c r="F217" s="500">
        <v>8.587962962962963E-4</v>
      </c>
      <c r="G217" s="498"/>
      <c r="H217" s="498"/>
      <c r="I217" s="501" t="s">
        <v>2231</v>
      </c>
      <c r="J217" s="502" t="s">
        <v>4435</v>
      </c>
    </row>
    <row r="218" spans="1:10" s="251" customFormat="1" ht="12" customHeight="1" x14ac:dyDescent="0.15">
      <c r="A218" s="489" t="s">
        <v>2355</v>
      </c>
      <c r="B218" s="490">
        <v>42458</v>
      </c>
      <c r="C218" s="491" t="s">
        <v>1948</v>
      </c>
      <c r="D218" s="492">
        <v>5</v>
      </c>
      <c r="E218" s="491" t="s">
        <v>3500</v>
      </c>
      <c r="F218" s="493">
        <v>7.0949074074074068E-4</v>
      </c>
      <c r="G218" s="491"/>
      <c r="H218" s="491"/>
      <c r="I218" s="494" t="s">
        <v>4436</v>
      </c>
      <c r="J218" s="495" t="s">
        <v>2383</v>
      </c>
    </row>
    <row r="219" spans="1:10" s="251" customFormat="1" ht="12" customHeight="1" x14ac:dyDescent="0.15">
      <c r="A219" s="489" t="s">
        <v>2401</v>
      </c>
      <c r="B219" s="490">
        <v>42459</v>
      </c>
      <c r="C219" s="491" t="s">
        <v>1950</v>
      </c>
      <c r="D219" s="492">
        <v>5</v>
      </c>
      <c r="E219" s="491" t="s">
        <v>3500</v>
      </c>
      <c r="F219" s="493">
        <v>7.0775462962962947E-4</v>
      </c>
      <c r="G219" s="491"/>
      <c r="H219" s="491"/>
      <c r="I219" s="494" t="s">
        <v>4439</v>
      </c>
      <c r="J219" s="495"/>
    </row>
    <row r="220" spans="1:10" s="251" customFormat="1" ht="12" customHeight="1" x14ac:dyDescent="0.15">
      <c r="A220" s="489" t="s">
        <v>2480</v>
      </c>
      <c r="B220" s="490">
        <v>42459</v>
      </c>
      <c r="C220" s="491" t="s">
        <v>1948</v>
      </c>
      <c r="D220" s="492">
        <v>4</v>
      </c>
      <c r="E220" s="491" t="s">
        <v>3500</v>
      </c>
      <c r="F220" s="493">
        <v>5.5057870370370373E-4</v>
      </c>
      <c r="G220" s="491"/>
      <c r="H220" s="491"/>
      <c r="I220" s="494" t="s">
        <v>4440</v>
      </c>
      <c r="J220" s="495" t="s">
        <v>4441</v>
      </c>
    </row>
    <row r="221" spans="1:10" s="251" customFormat="1" ht="12" customHeight="1" x14ac:dyDescent="0.15">
      <c r="A221" s="552" t="s">
        <v>1667</v>
      </c>
      <c r="B221" s="490">
        <v>42460</v>
      </c>
      <c r="C221" s="491" t="s">
        <v>2006</v>
      </c>
      <c r="D221" s="492">
        <v>4</v>
      </c>
      <c r="E221" s="491" t="s">
        <v>3502</v>
      </c>
      <c r="F221" s="493">
        <v>6.5046296296296304E-4</v>
      </c>
      <c r="G221" s="491"/>
      <c r="H221" s="491"/>
      <c r="I221" s="494" t="s">
        <v>366</v>
      </c>
      <c r="J221" s="495" t="s">
        <v>4446</v>
      </c>
    </row>
    <row r="222" spans="1:10" s="251" customFormat="1" ht="12" customHeight="1" x14ac:dyDescent="0.15">
      <c r="A222" s="489" t="s">
        <v>3694</v>
      </c>
      <c r="B222" s="490">
        <v>42461</v>
      </c>
      <c r="C222" s="491" t="s">
        <v>3193</v>
      </c>
      <c r="D222" s="492">
        <v>3</v>
      </c>
      <c r="E222" s="491" t="s">
        <v>3500</v>
      </c>
      <c r="F222" s="493">
        <v>4.3287037037037035E-4</v>
      </c>
      <c r="G222" s="491"/>
      <c r="H222" s="491"/>
      <c r="I222" s="494" t="s">
        <v>3345</v>
      </c>
      <c r="J222" s="495"/>
    </row>
    <row r="223" spans="1:10" s="251" customFormat="1" ht="12" customHeight="1" x14ac:dyDescent="0.15">
      <c r="A223" s="489" t="s">
        <v>1534</v>
      </c>
      <c r="B223" s="490">
        <v>42461</v>
      </c>
      <c r="C223" s="491" t="s">
        <v>1950</v>
      </c>
      <c r="D223" s="492">
        <v>5</v>
      </c>
      <c r="E223" s="491" t="s">
        <v>3500</v>
      </c>
      <c r="F223" s="493">
        <v>7.0613425925925922E-4</v>
      </c>
      <c r="G223" s="491"/>
      <c r="H223" s="491"/>
      <c r="I223" s="494" t="s">
        <v>4410</v>
      </c>
      <c r="J223" s="495"/>
    </row>
    <row r="224" spans="1:10" s="251" customFormat="1" ht="12" customHeight="1" x14ac:dyDescent="0.15">
      <c r="A224" s="489" t="s">
        <v>4396</v>
      </c>
      <c r="B224" s="490">
        <v>42460</v>
      </c>
      <c r="C224" s="491" t="s">
        <v>2315</v>
      </c>
      <c r="D224" s="492">
        <v>3</v>
      </c>
      <c r="E224" s="491" t="s">
        <v>3501</v>
      </c>
      <c r="F224" s="493">
        <v>4.5543981481481482E-4</v>
      </c>
      <c r="G224" s="491"/>
      <c r="H224" s="491"/>
      <c r="I224" s="494" t="s">
        <v>4447</v>
      </c>
      <c r="J224" s="495"/>
    </row>
    <row r="225" spans="1:10" s="251" customFormat="1" ht="12" customHeight="1" x14ac:dyDescent="0.15">
      <c r="A225" s="489" t="s">
        <v>1953</v>
      </c>
      <c r="B225" s="490">
        <v>42462</v>
      </c>
      <c r="C225" s="491" t="s">
        <v>2317</v>
      </c>
      <c r="D225" s="492">
        <v>5</v>
      </c>
      <c r="E225" s="491" t="s">
        <v>3500</v>
      </c>
      <c r="F225" s="493">
        <v>7.1527777777777779E-4</v>
      </c>
      <c r="G225" s="491" t="s">
        <v>4459</v>
      </c>
      <c r="H225" s="491"/>
      <c r="I225" s="494" t="s">
        <v>2232</v>
      </c>
      <c r="J225" s="495"/>
    </row>
    <row r="226" spans="1:10" s="252" customFormat="1" ht="12" customHeight="1" x14ac:dyDescent="0.15">
      <c r="A226" s="496" t="s">
        <v>2459</v>
      </c>
      <c r="B226" s="497">
        <v>42463</v>
      </c>
      <c r="C226" s="498" t="s">
        <v>3205</v>
      </c>
      <c r="D226" s="499">
        <v>3</v>
      </c>
      <c r="E226" s="498" t="s">
        <v>3500</v>
      </c>
      <c r="F226" s="500">
        <v>4.3750000000000001E-4</v>
      </c>
      <c r="G226" s="498"/>
      <c r="H226" s="498"/>
      <c r="I226" s="501" t="s">
        <v>3977</v>
      </c>
      <c r="J226" s="502"/>
    </row>
    <row r="227" spans="1:10" s="251" customFormat="1" ht="12" customHeight="1" x14ac:dyDescent="0.15">
      <c r="A227" s="489" t="s">
        <v>3333</v>
      </c>
      <c r="B227" s="490">
        <v>42463</v>
      </c>
      <c r="C227" s="491" t="s">
        <v>4460</v>
      </c>
      <c r="D227" s="492">
        <v>4</v>
      </c>
      <c r="E227" s="491" t="s">
        <v>3500</v>
      </c>
      <c r="F227" s="493">
        <v>5.7638888888888887E-4</v>
      </c>
      <c r="G227" s="491"/>
      <c r="H227" s="491" t="s">
        <v>1249</v>
      </c>
      <c r="I227" s="494" t="s">
        <v>4461</v>
      </c>
      <c r="J227" s="495" t="s">
        <v>2310</v>
      </c>
    </row>
    <row r="228" spans="1:10" s="251" customFormat="1" ht="12" customHeight="1" x14ac:dyDescent="0.15">
      <c r="A228" s="489" t="s">
        <v>3203</v>
      </c>
      <c r="B228" s="490">
        <v>42463</v>
      </c>
      <c r="C228" s="491" t="s">
        <v>1948</v>
      </c>
      <c r="D228" s="492">
        <v>4</v>
      </c>
      <c r="E228" s="491" t="s">
        <v>3500</v>
      </c>
      <c r="F228" s="493">
        <v>5.7766203703703701E-4</v>
      </c>
      <c r="G228" s="491"/>
      <c r="H228" s="491" t="s">
        <v>1249</v>
      </c>
      <c r="I228" s="494" t="s">
        <v>4462</v>
      </c>
      <c r="J228" s="495" t="s">
        <v>18</v>
      </c>
    </row>
    <row r="229" spans="1:10" s="251" customFormat="1" ht="12" customHeight="1" x14ac:dyDescent="0.15">
      <c r="A229" s="489" t="s">
        <v>36</v>
      </c>
      <c r="B229" s="490">
        <v>42463</v>
      </c>
      <c r="C229" s="491" t="s">
        <v>1952</v>
      </c>
      <c r="D229" s="492">
        <v>5</v>
      </c>
      <c r="E229" s="491" t="s">
        <v>3500</v>
      </c>
      <c r="F229" s="493">
        <v>7.1527777777777779E-4</v>
      </c>
      <c r="G229" s="491"/>
      <c r="H229" s="491"/>
      <c r="I229" s="494" t="s">
        <v>4463</v>
      </c>
      <c r="J229" s="495"/>
    </row>
    <row r="230" spans="1:10" s="251" customFormat="1" ht="12" customHeight="1" thickBot="1" x14ac:dyDescent="0.2">
      <c r="A230" s="489" t="s">
        <v>1381</v>
      </c>
      <c r="B230" s="490">
        <v>42463</v>
      </c>
      <c r="C230" s="491" t="s">
        <v>4464</v>
      </c>
      <c r="D230" s="492">
        <v>4</v>
      </c>
      <c r="E230" s="491" t="s">
        <v>3500</v>
      </c>
      <c r="F230" s="493">
        <v>5.9722222222222219E-4</v>
      </c>
      <c r="G230" s="491"/>
      <c r="H230" s="491"/>
      <c r="I230" s="491" t="s">
        <v>4465</v>
      </c>
      <c r="J230" s="495" t="s">
        <v>4123</v>
      </c>
    </row>
    <row r="231" spans="1:10" s="251" customFormat="1" ht="12" customHeight="1" x14ac:dyDescent="0.15">
      <c r="A231" s="540" t="s">
        <v>3181</v>
      </c>
      <c r="B231" s="253">
        <v>42466</v>
      </c>
      <c r="C231" s="254" t="s">
        <v>2293</v>
      </c>
      <c r="D231" s="255">
        <v>3</v>
      </c>
      <c r="E231" s="342" t="s">
        <v>3500</v>
      </c>
      <c r="F231" s="256">
        <v>4.3981481481481481E-4</v>
      </c>
      <c r="G231" s="254"/>
      <c r="H231" s="254"/>
      <c r="I231" s="257" t="s">
        <v>4025</v>
      </c>
      <c r="J231" s="258" t="s">
        <v>4476</v>
      </c>
    </row>
    <row r="232" spans="1:10" s="251" customFormat="1" ht="12" customHeight="1" x14ac:dyDescent="0.15">
      <c r="A232" s="489" t="s">
        <v>2480</v>
      </c>
      <c r="B232" s="490">
        <v>42466</v>
      </c>
      <c r="C232" s="491" t="s">
        <v>1948</v>
      </c>
      <c r="D232" s="492">
        <v>4</v>
      </c>
      <c r="E232" s="491" t="s">
        <v>3500</v>
      </c>
      <c r="F232" s="493">
        <v>5.5509259259259259E-4</v>
      </c>
      <c r="G232" s="491"/>
      <c r="H232" s="491"/>
      <c r="I232" s="494" t="s">
        <v>4477</v>
      </c>
      <c r="J232" s="495" t="s">
        <v>4478</v>
      </c>
    </row>
    <row r="233" spans="1:10" s="252" customFormat="1" ht="12" customHeight="1" x14ac:dyDescent="0.15">
      <c r="A233" s="496" t="s">
        <v>2164</v>
      </c>
      <c r="B233" s="497">
        <v>42468</v>
      </c>
      <c r="C233" s="498" t="s">
        <v>2315</v>
      </c>
      <c r="D233" s="499">
        <v>3</v>
      </c>
      <c r="E233" s="498" t="s">
        <v>3500</v>
      </c>
      <c r="F233" s="500">
        <v>4.230324074074074E-4</v>
      </c>
      <c r="G233" s="498" t="s">
        <v>961</v>
      </c>
      <c r="H233" s="498"/>
      <c r="I233" s="501" t="s">
        <v>2231</v>
      </c>
      <c r="J233" s="502"/>
    </row>
    <row r="234" spans="1:10" s="251" customFormat="1" ht="12" customHeight="1" x14ac:dyDescent="0.15">
      <c r="A234" s="489" t="s">
        <v>58</v>
      </c>
      <c r="B234" s="490">
        <v>42467</v>
      </c>
      <c r="C234" s="491" t="s">
        <v>1947</v>
      </c>
      <c r="D234" s="492">
        <v>4</v>
      </c>
      <c r="E234" s="491" t="s">
        <v>3500</v>
      </c>
      <c r="F234" s="493">
        <v>5.6539351851851857E-4</v>
      </c>
      <c r="G234" s="491"/>
      <c r="H234" s="491"/>
      <c r="I234" s="494" t="s">
        <v>4487</v>
      </c>
      <c r="J234" s="495"/>
    </row>
    <row r="235" spans="1:10" s="251" customFormat="1" ht="12" customHeight="1" x14ac:dyDescent="0.15">
      <c r="A235" s="489" t="s">
        <v>2218</v>
      </c>
      <c r="B235" s="490">
        <v>42467</v>
      </c>
      <c r="C235" s="491" t="s">
        <v>3205</v>
      </c>
      <c r="D235" s="492">
        <v>4</v>
      </c>
      <c r="E235" s="491" t="s">
        <v>3500</v>
      </c>
      <c r="F235" s="493">
        <v>5.7870370370370378E-4</v>
      </c>
      <c r="G235" s="491"/>
      <c r="H235" s="491"/>
      <c r="I235" s="494" t="s">
        <v>4489</v>
      </c>
      <c r="J235" s="495"/>
    </row>
    <row r="236" spans="1:10" s="597" customFormat="1" ht="12" customHeight="1" x14ac:dyDescent="0.15">
      <c r="A236" s="590" t="s">
        <v>2425</v>
      </c>
      <c r="B236" s="591">
        <v>42468</v>
      </c>
      <c r="C236" s="592" t="s">
        <v>4369</v>
      </c>
      <c r="D236" s="593">
        <v>3</v>
      </c>
      <c r="E236" s="592" t="s">
        <v>3500</v>
      </c>
      <c r="F236" s="594">
        <v>4.3993055555555555E-4</v>
      </c>
      <c r="G236" s="592"/>
      <c r="H236" s="592"/>
      <c r="I236" s="595" t="s">
        <v>964</v>
      </c>
      <c r="J236" s="596"/>
    </row>
    <row r="237" spans="1:10" s="251" customFormat="1" ht="12" customHeight="1" x14ac:dyDescent="0.15">
      <c r="A237" s="489" t="s">
        <v>1943</v>
      </c>
      <c r="B237" s="490">
        <v>42469</v>
      </c>
      <c r="C237" s="491" t="s">
        <v>4498</v>
      </c>
      <c r="D237" s="492">
        <v>4</v>
      </c>
      <c r="E237" s="491" t="s">
        <v>3500</v>
      </c>
      <c r="F237" s="493">
        <v>5.6018518518518516E-4</v>
      </c>
      <c r="G237" s="491"/>
      <c r="H237" s="491"/>
      <c r="I237" s="494" t="s">
        <v>4499</v>
      </c>
      <c r="J237" s="495"/>
    </row>
    <row r="238" spans="1:10" s="251" customFormat="1" ht="12" customHeight="1" x14ac:dyDescent="0.15">
      <c r="A238" s="489" t="s">
        <v>2467</v>
      </c>
      <c r="B238" s="490">
        <v>42469</v>
      </c>
      <c r="C238" s="491" t="s">
        <v>1947</v>
      </c>
      <c r="D238" s="492">
        <v>4</v>
      </c>
      <c r="E238" s="491" t="s">
        <v>3500</v>
      </c>
      <c r="F238" s="493">
        <v>6.0439814814814807E-4</v>
      </c>
      <c r="G238" s="491"/>
      <c r="H238" s="491"/>
      <c r="I238" s="494" t="s">
        <v>4500</v>
      </c>
      <c r="J238" s="495"/>
    </row>
    <row r="239" spans="1:10" s="251" customFormat="1" ht="12" customHeight="1" x14ac:dyDescent="0.15">
      <c r="A239" s="489" t="s">
        <v>1953</v>
      </c>
      <c r="B239" s="490">
        <v>42469</v>
      </c>
      <c r="C239" s="491" t="s">
        <v>3286</v>
      </c>
      <c r="D239" s="492"/>
      <c r="E239" s="491"/>
      <c r="F239" s="493"/>
      <c r="G239" s="491"/>
      <c r="H239" s="491"/>
      <c r="I239" s="494"/>
      <c r="J239" s="495"/>
    </row>
    <row r="240" spans="1:10" s="251" customFormat="1" ht="12" customHeight="1" x14ac:dyDescent="0.15">
      <c r="A240" s="489" t="s">
        <v>2121</v>
      </c>
      <c r="B240" s="490">
        <v>42469</v>
      </c>
      <c r="C240" s="491" t="s">
        <v>1950</v>
      </c>
      <c r="D240" s="492">
        <v>4</v>
      </c>
      <c r="E240" s="491" t="s">
        <v>3500</v>
      </c>
      <c r="F240" s="493">
        <v>5.8032407407407414E-4</v>
      </c>
      <c r="G240" s="491"/>
      <c r="H240" s="491"/>
      <c r="I240" s="494" t="s">
        <v>4501</v>
      </c>
      <c r="J240" s="495" t="s">
        <v>4147</v>
      </c>
    </row>
    <row r="241" spans="1:10" s="252" customFormat="1" ht="12" customHeight="1" x14ac:dyDescent="0.15">
      <c r="A241" s="496" t="s">
        <v>3204</v>
      </c>
      <c r="B241" s="497">
        <v>42469</v>
      </c>
      <c r="C241" s="498" t="s">
        <v>2293</v>
      </c>
      <c r="D241" s="499">
        <v>4</v>
      </c>
      <c r="E241" s="498" t="s">
        <v>3501</v>
      </c>
      <c r="F241" s="500">
        <v>5.5555555555555556E-4</v>
      </c>
      <c r="G241" s="498"/>
      <c r="H241" s="498"/>
      <c r="I241" s="501" t="s">
        <v>4502</v>
      </c>
      <c r="J241" s="502"/>
    </row>
    <row r="242" spans="1:10" s="251" customFormat="1" ht="12" customHeight="1" x14ac:dyDescent="0.15">
      <c r="A242" s="489" t="s">
        <v>1666</v>
      </c>
      <c r="B242" s="490">
        <v>42468</v>
      </c>
      <c r="C242" s="491" t="s">
        <v>1035</v>
      </c>
      <c r="D242" s="492">
        <v>4</v>
      </c>
      <c r="E242" s="491" t="s">
        <v>3500</v>
      </c>
      <c r="F242" s="493">
        <v>5.7407407407407407E-4</v>
      </c>
      <c r="G242" s="491"/>
      <c r="H242" s="491"/>
      <c r="I242" s="494" t="s">
        <v>4503</v>
      </c>
      <c r="J242" s="495"/>
    </row>
    <row r="243" spans="1:10" s="251" customFormat="1" ht="12" customHeight="1" thickBot="1" x14ac:dyDescent="0.2">
      <c r="A243" s="489" t="s">
        <v>3840</v>
      </c>
      <c r="B243" s="490">
        <v>42470</v>
      </c>
      <c r="C243" s="491" t="s">
        <v>1945</v>
      </c>
      <c r="D243" s="492">
        <v>4</v>
      </c>
      <c r="E243" s="491" t="s">
        <v>3500</v>
      </c>
      <c r="F243" s="493">
        <v>5.5555555555555556E-4</v>
      </c>
      <c r="G243" s="491"/>
      <c r="H243" s="491"/>
      <c r="I243" s="491" t="s">
        <v>3631</v>
      </c>
      <c r="J243" s="495"/>
    </row>
    <row r="244" spans="1:10" s="251" customFormat="1" ht="12" customHeight="1" x14ac:dyDescent="0.15">
      <c r="A244" s="540" t="s">
        <v>3203</v>
      </c>
      <c r="B244" s="253">
        <v>42472</v>
      </c>
      <c r="C244" s="254" t="s">
        <v>4460</v>
      </c>
      <c r="D244" s="255">
        <v>5</v>
      </c>
      <c r="E244" s="342" t="s">
        <v>3500</v>
      </c>
      <c r="F244" s="256">
        <v>7.1527777777777779E-4</v>
      </c>
      <c r="G244" s="254"/>
      <c r="H244" s="254"/>
      <c r="I244" s="257" t="s">
        <v>4232</v>
      </c>
      <c r="J244" s="258"/>
    </row>
    <row r="245" spans="1:10" s="251" customFormat="1" ht="12" customHeight="1" x14ac:dyDescent="0.15">
      <c r="A245" s="489" t="s">
        <v>3154</v>
      </c>
      <c r="B245" s="490">
        <v>42472</v>
      </c>
      <c r="C245" s="491" t="s">
        <v>1950</v>
      </c>
      <c r="D245" s="492">
        <v>4</v>
      </c>
      <c r="E245" s="491" t="s">
        <v>3500</v>
      </c>
      <c r="F245" s="493">
        <v>5.5706018518518518E-4</v>
      </c>
      <c r="G245" s="491" t="s">
        <v>961</v>
      </c>
      <c r="H245" s="491"/>
      <c r="I245" s="494" t="s">
        <v>3999</v>
      </c>
      <c r="J245" s="495"/>
    </row>
    <row r="246" spans="1:10" s="251" customFormat="1" ht="12" customHeight="1" x14ac:dyDescent="0.15">
      <c r="A246" s="489" t="s">
        <v>1381</v>
      </c>
      <c r="B246" s="490">
        <v>42471</v>
      </c>
      <c r="C246" s="491" t="s">
        <v>4464</v>
      </c>
      <c r="D246" s="492">
        <v>4</v>
      </c>
      <c r="E246" s="491" t="s">
        <v>3500</v>
      </c>
      <c r="F246" s="493">
        <v>6.041666666666667E-4</v>
      </c>
      <c r="G246" s="491"/>
      <c r="H246" s="491"/>
      <c r="I246" s="494" t="s">
        <v>4527</v>
      </c>
      <c r="J246" s="495"/>
    </row>
    <row r="247" spans="1:10" s="251" customFormat="1" ht="12" customHeight="1" x14ac:dyDescent="0.15">
      <c r="A247" s="489" t="s">
        <v>4237</v>
      </c>
      <c r="B247" s="490">
        <v>42471</v>
      </c>
      <c r="C247" s="491" t="s">
        <v>1950</v>
      </c>
      <c r="D247" s="492">
        <v>4</v>
      </c>
      <c r="E247" s="491" t="s">
        <v>3500</v>
      </c>
      <c r="F247" s="493">
        <v>5.5752314814814824E-4</v>
      </c>
      <c r="G247" s="491"/>
      <c r="H247" s="491"/>
      <c r="I247" s="494" t="s">
        <v>4528</v>
      </c>
      <c r="J247" s="495"/>
    </row>
    <row r="248" spans="1:10" s="251" customFormat="1" ht="12" customHeight="1" x14ac:dyDescent="0.15">
      <c r="A248" s="489" t="s">
        <v>1816</v>
      </c>
      <c r="B248" s="490">
        <v>42471</v>
      </c>
      <c r="C248" s="491" t="s">
        <v>1950</v>
      </c>
      <c r="D248" s="492">
        <v>4</v>
      </c>
      <c r="E248" s="491" t="s">
        <v>3500</v>
      </c>
      <c r="F248" s="493">
        <v>5.9166666666666666E-4</v>
      </c>
      <c r="G248" s="491"/>
      <c r="H248" s="491"/>
      <c r="I248" s="494" t="s">
        <v>4531</v>
      </c>
      <c r="J248" s="495"/>
    </row>
    <row r="249" spans="1:10" s="251" customFormat="1" ht="12" customHeight="1" x14ac:dyDescent="0.15">
      <c r="A249" s="489" t="s">
        <v>1667</v>
      </c>
      <c r="B249" s="490">
        <v>42472</v>
      </c>
      <c r="C249" s="491" t="s">
        <v>2006</v>
      </c>
      <c r="D249" s="492">
        <v>4</v>
      </c>
      <c r="E249" s="491" t="s">
        <v>3502</v>
      </c>
      <c r="F249" s="493">
        <v>6.7476851851851845E-4</v>
      </c>
      <c r="G249" s="491"/>
      <c r="H249" s="491"/>
      <c r="I249" s="494" t="s">
        <v>366</v>
      </c>
      <c r="J249" s="495" t="s">
        <v>4530</v>
      </c>
    </row>
    <row r="250" spans="1:10" s="251" customFormat="1" ht="12" customHeight="1" x14ac:dyDescent="0.15">
      <c r="A250" s="489" t="s">
        <v>2475</v>
      </c>
      <c r="B250" s="490">
        <v>42471</v>
      </c>
      <c r="C250" s="491" t="s">
        <v>2293</v>
      </c>
      <c r="D250" s="492">
        <v>4</v>
      </c>
      <c r="E250" s="491" t="s">
        <v>3500</v>
      </c>
      <c r="F250" s="493">
        <v>5.8796296296296287E-4</v>
      </c>
      <c r="G250" s="491"/>
      <c r="H250" s="491"/>
      <c r="I250" s="494" t="s">
        <v>4533</v>
      </c>
      <c r="J250" s="495"/>
    </row>
    <row r="251" spans="1:10" s="251" customFormat="1" ht="12" customHeight="1" x14ac:dyDescent="0.15">
      <c r="A251" s="489" t="s">
        <v>2164</v>
      </c>
      <c r="B251" s="490">
        <v>42475</v>
      </c>
      <c r="C251" s="491" t="s">
        <v>2315</v>
      </c>
      <c r="D251" s="492">
        <v>4</v>
      </c>
      <c r="E251" s="491" t="s">
        <v>3500</v>
      </c>
      <c r="F251" s="493">
        <v>5.6689814814814808E-4</v>
      </c>
      <c r="G251" s="491"/>
      <c r="H251" s="491"/>
      <c r="I251" s="494" t="s">
        <v>4545</v>
      </c>
      <c r="J251" s="495"/>
    </row>
    <row r="252" spans="1:10" s="251" customFormat="1" ht="12" customHeight="1" x14ac:dyDescent="0.15">
      <c r="A252" s="489" t="s">
        <v>1942</v>
      </c>
      <c r="B252" s="490">
        <v>42475</v>
      </c>
      <c r="C252" s="491" t="s">
        <v>1945</v>
      </c>
      <c r="D252" s="492">
        <v>5</v>
      </c>
      <c r="E252" s="491" t="s">
        <v>3500</v>
      </c>
      <c r="F252" s="493">
        <v>5.6712962962962956E-4</v>
      </c>
      <c r="G252" s="491"/>
      <c r="H252" s="491"/>
      <c r="I252" s="494" t="s">
        <v>4230</v>
      </c>
      <c r="J252" s="495"/>
    </row>
    <row r="253" spans="1:10" s="251" customFormat="1" ht="12" customHeight="1" x14ac:dyDescent="0.15">
      <c r="A253" s="489" t="s">
        <v>33</v>
      </c>
      <c r="B253" s="490">
        <v>42473</v>
      </c>
      <c r="C253" s="491" t="s">
        <v>3212</v>
      </c>
      <c r="D253" s="492">
        <v>4</v>
      </c>
      <c r="E253" s="491" t="s">
        <v>3500</v>
      </c>
      <c r="F253" s="493">
        <v>6.018518518518519E-4</v>
      </c>
      <c r="G253" s="491"/>
      <c r="H253" s="491"/>
      <c r="I253" s="494" t="s">
        <v>4288</v>
      </c>
      <c r="J253" s="495"/>
    </row>
    <row r="254" spans="1:10" s="252" customFormat="1" ht="12" customHeight="1" x14ac:dyDescent="0.15">
      <c r="A254" s="496" t="s">
        <v>1943</v>
      </c>
      <c r="B254" s="497">
        <v>42476</v>
      </c>
      <c r="C254" s="498" t="s">
        <v>4498</v>
      </c>
      <c r="D254" s="499">
        <v>5</v>
      </c>
      <c r="E254" s="498" t="s">
        <v>3500</v>
      </c>
      <c r="F254" s="500">
        <v>7.0833333333333338E-4</v>
      </c>
      <c r="G254" s="498"/>
      <c r="H254" s="498"/>
      <c r="I254" s="501" t="s">
        <v>4555</v>
      </c>
      <c r="J254" s="502"/>
    </row>
    <row r="255" spans="1:10" s="252" customFormat="1" ht="12" customHeight="1" x14ac:dyDescent="0.15">
      <c r="A255" s="496" t="s">
        <v>1666</v>
      </c>
      <c r="B255" s="497">
        <v>42476</v>
      </c>
      <c r="C255" s="498" t="s">
        <v>1035</v>
      </c>
      <c r="D255" s="499">
        <v>4</v>
      </c>
      <c r="E255" s="498" t="s">
        <v>3500</v>
      </c>
      <c r="F255" s="500">
        <v>5.4629629629629635E-4</v>
      </c>
      <c r="G255" s="498"/>
      <c r="H255" s="498"/>
      <c r="I255" s="501" t="s">
        <v>4560</v>
      </c>
      <c r="J255" s="502"/>
    </row>
    <row r="256" spans="1:10" s="252" customFormat="1" ht="12" customHeight="1" x14ac:dyDescent="0.15">
      <c r="A256" s="496" t="s">
        <v>2278</v>
      </c>
      <c r="B256" s="497">
        <v>42472</v>
      </c>
      <c r="C256" s="498" t="s">
        <v>4000</v>
      </c>
      <c r="D256" s="499">
        <v>4</v>
      </c>
      <c r="E256" s="498" t="s">
        <v>3500</v>
      </c>
      <c r="F256" s="500">
        <v>5.9027777777777778E-4</v>
      </c>
      <c r="G256" s="498" t="s">
        <v>961</v>
      </c>
      <c r="H256" s="498"/>
      <c r="I256" s="501" t="s">
        <v>3977</v>
      </c>
      <c r="J256" s="502" t="s">
        <v>4526</v>
      </c>
    </row>
    <row r="257" spans="1:10" s="252" customFormat="1" ht="12" customHeight="1" x14ac:dyDescent="0.15">
      <c r="A257" s="496" t="s">
        <v>2176</v>
      </c>
      <c r="B257" s="497">
        <v>42473</v>
      </c>
      <c r="C257" s="498" t="s">
        <v>2315</v>
      </c>
      <c r="D257" s="499">
        <v>4</v>
      </c>
      <c r="E257" s="498" t="s">
        <v>3501</v>
      </c>
      <c r="F257" s="500">
        <v>5.579861111111111E-4</v>
      </c>
      <c r="G257" s="498"/>
      <c r="H257" s="498" t="s">
        <v>1249</v>
      </c>
      <c r="I257" s="501" t="s">
        <v>4551</v>
      </c>
      <c r="J257" s="502" t="s">
        <v>4552</v>
      </c>
    </row>
    <row r="258" spans="1:10" s="252" customFormat="1" ht="12" customHeight="1" x14ac:dyDescent="0.15">
      <c r="A258" s="496" t="s">
        <v>2459</v>
      </c>
      <c r="B258" s="497">
        <v>42477</v>
      </c>
      <c r="C258" s="498" t="s">
        <v>3205</v>
      </c>
      <c r="D258" s="499">
        <v>4</v>
      </c>
      <c r="E258" s="498" t="s">
        <v>3500</v>
      </c>
      <c r="F258" s="500">
        <v>5.5787037037037036E-4</v>
      </c>
      <c r="G258" s="498"/>
      <c r="H258" s="498"/>
      <c r="I258" s="501" t="s">
        <v>3260</v>
      </c>
      <c r="J258" s="502"/>
    </row>
    <row r="259" spans="1:10" s="252" customFormat="1" ht="12" customHeight="1" x14ac:dyDescent="0.15">
      <c r="A259" s="496" t="s">
        <v>1816</v>
      </c>
      <c r="B259" s="497">
        <v>42477</v>
      </c>
      <c r="C259" s="498" t="s">
        <v>1950</v>
      </c>
      <c r="D259" s="499">
        <v>5</v>
      </c>
      <c r="E259" s="498" t="s">
        <v>3500</v>
      </c>
      <c r="F259" s="500">
        <v>6.887731481481481E-4</v>
      </c>
      <c r="G259" s="498"/>
      <c r="H259" s="498"/>
      <c r="I259" s="501" t="s">
        <v>4568</v>
      </c>
      <c r="J259" s="502"/>
    </row>
    <row r="260" spans="1:10" s="251" customFormat="1" ht="12" customHeight="1" x14ac:dyDescent="0.15">
      <c r="A260" s="489" t="s">
        <v>4396</v>
      </c>
      <c r="B260" s="490">
        <v>42476</v>
      </c>
      <c r="C260" s="491" t="s">
        <v>2315</v>
      </c>
      <c r="D260" s="492">
        <v>4</v>
      </c>
      <c r="E260" s="491" t="s">
        <v>3500</v>
      </c>
      <c r="F260" s="493">
        <v>5.8958333333333334E-4</v>
      </c>
      <c r="G260" s="491"/>
      <c r="H260" s="491" t="s">
        <v>1249</v>
      </c>
      <c r="I260" s="494" t="s">
        <v>4557</v>
      </c>
      <c r="J260" s="495" t="s">
        <v>2310</v>
      </c>
    </row>
    <row r="261" spans="1:10" s="251" customFormat="1" ht="12" customHeight="1" x14ac:dyDescent="0.15">
      <c r="A261" s="489" t="s">
        <v>351</v>
      </c>
      <c r="B261" s="490">
        <v>42468</v>
      </c>
      <c r="C261" s="491" t="s">
        <v>4553</v>
      </c>
      <c r="D261" s="492">
        <v>5</v>
      </c>
      <c r="E261" s="491" t="s">
        <v>3501</v>
      </c>
      <c r="F261" s="493">
        <v>7.5231481481481471E-4</v>
      </c>
      <c r="G261" s="491"/>
      <c r="H261" s="491"/>
      <c r="I261" s="494" t="s">
        <v>964</v>
      </c>
      <c r="J261" s="495" t="s">
        <v>4554</v>
      </c>
    </row>
    <row r="262" spans="1:10" s="251" customFormat="1" ht="12" customHeight="1" x14ac:dyDescent="0.15">
      <c r="A262" s="489" t="s">
        <v>121</v>
      </c>
      <c r="B262" s="490">
        <v>42473</v>
      </c>
      <c r="C262" s="491" t="s">
        <v>1957</v>
      </c>
      <c r="D262" s="492">
        <v>4</v>
      </c>
      <c r="E262" s="491" t="s">
        <v>3500</v>
      </c>
      <c r="F262" s="493">
        <v>5.6712962962962956E-4</v>
      </c>
      <c r="G262" s="491"/>
      <c r="H262" s="491"/>
      <c r="I262" s="494" t="s">
        <v>4252</v>
      </c>
      <c r="J262" s="495" t="s">
        <v>4226</v>
      </c>
    </row>
    <row r="263" spans="1:10" s="251" customFormat="1" ht="12" customHeight="1" x14ac:dyDescent="0.15">
      <c r="A263" s="489" t="s">
        <v>2166</v>
      </c>
      <c r="B263" s="490">
        <v>42474</v>
      </c>
      <c r="C263" s="491" t="s">
        <v>2315</v>
      </c>
      <c r="D263" s="492">
        <v>3</v>
      </c>
      <c r="E263" s="491" t="s">
        <v>3500</v>
      </c>
      <c r="F263" s="493">
        <v>4.3541666666666663E-4</v>
      </c>
      <c r="G263" s="491"/>
      <c r="H263" s="491"/>
      <c r="I263" s="494" t="s">
        <v>4546</v>
      </c>
      <c r="J263" s="495" t="s">
        <v>4547</v>
      </c>
    </row>
    <row r="264" spans="1:10" s="251" customFormat="1" ht="12" customHeight="1" x14ac:dyDescent="0.15">
      <c r="A264" s="489" t="s">
        <v>4548</v>
      </c>
      <c r="B264" s="490">
        <v>42473</v>
      </c>
      <c r="C264" s="491" t="s">
        <v>4464</v>
      </c>
      <c r="D264" s="492">
        <v>3</v>
      </c>
      <c r="E264" s="491" t="s">
        <v>3500</v>
      </c>
      <c r="F264" s="493">
        <v>4.3518518518518521E-4</v>
      </c>
      <c r="G264" s="491"/>
      <c r="H264" s="491"/>
      <c r="I264" s="494" t="s">
        <v>4549</v>
      </c>
      <c r="J264" s="495" t="s">
        <v>4234</v>
      </c>
    </row>
    <row r="265" spans="1:10" s="597" customFormat="1" ht="12" customHeight="1" x14ac:dyDescent="0.15">
      <c r="A265" s="590" t="s">
        <v>3753</v>
      </c>
      <c r="B265" s="591">
        <v>42472</v>
      </c>
      <c r="C265" s="592" t="s">
        <v>4000</v>
      </c>
      <c r="D265" s="593">
        <v>2</v>
      </c>
      <c r="E265" s="592" t="s">
        <v>3500</v>
      </c>
      <c r="F265" s="594">
        <v>3.0555555555555555E-4</v>
      </c>
      <c r="G265" s="592" t="s">
        <v>961</v>
      </c>
      <c r="H265" s="592"/>
      <c r="I265" s="595" t="s">
        <v>2232</v>
      </c>
      <c r="J265" s="596" t="s">
        <v>2428</v>
      </c>
    </row>
    <row r="266" spans="1:10" s="251" customFormat="1" ht="12" customHeight="1" x14ac:dyDescent="0.15">
      <c r="A266" s="489" t="s">
        <v>1826</v>
      </c>
      <c r="B266" s="490">
        <v>42473</v>
      </c>
      <c r="C266" s="491" t="s">
        <v>2315</v>
      </c>
      <c r="D266" s="492">
        <v>3</v>
      </c>
      <c r="E266" s="491" t="s">
        <v>3500</v>
      </c>
      <c r="F266" s="493">
        <v>4.9328703703703698E-4</v>
      </c>
      <c r="G266" s="491"/>
      <c r="H266" s="491"/>
      <c r="I266" s="494" t="s">
        <v>4550</v>
      </c>
      <c r="J266" s="495" t="s">
        <v>2428</v>
      </c>
    </row>
    <row r="267" spans="1:10" s="251" customFormat="1" ht="12" customHeight="1" x14ac:dyDescent="0.15">
      <c r="A267" s="489" t="s">
        <v>2355</v>
      </c>
      <c r="B267" s="490">
        <v>42476</v>
      </c>
      <c r="C267" s="491" t="s">
        <v>3200</v>
      </c>
      <c r="D267" s="492">
        <v>4</v>
      </c>
      <c r="E267" s="491" t="s">
        <v>3500</v>
      </c>
      <c r="F267" s="493">
        <v>5.5659722222222232E-4</v>
      </c>
      <c r="G267" s="491"/>
      <c r="H267" s="491"/>
      <c r="I267" s="494" t="s">
        <v>3632</v>
      </c>
      <c r="J267" s="495" t="s">
        <v>4561</v>
      </c>
    </row>
    <row r="268" spans="1:10" s="251" customFormat="1" ht="12" customHeight="1" x14ac:dyDescent="0.15">
      <c r="A268" s="489" t="s">
        <v>1953</v>
      </c>
      <c r="B268" s="490">
        <v>42476</v>
      </c>
      <c r="C268" s="491" t="s">
        <v>2317</v>
      </c>
      <c r="D268" s="492">
        <v>5</v>
      </c>
      <c r="E268" s="491" t="s">
        <v>3500</v>
      </c>
      <c r="F268" s="493">
        <v>7.1527777777777779E-4</v>
      </c>
      <c r="G268" s="491"/>
      <c r="H268" s="491"/>
      <c r="I268" s="494" t="s">
        <v>4556</v>
      </c>
      <c r="J268" s="495"/>
    </row>
    <row r="269" spans="1:10" s="251" customFormat="1" ht="12" customHeight="1" x14ac:dyDescent="0.15">
      <c r="A269" s="489" t="s">
        <v>3263</v>
      </c>
      <c r="B269" s="490">
        <v>42476</v>
      </c>
      <c r="C269" s="491" t="s">
        <v>3193</v>
      </c>
      <c r="D269" s="492">
        <v>3</v>
      </c>
      <c r="E269" s="491" t="s">
        <v>3500</v>
      </c>
      <c r="F269" s="493">
        <v>4.1898148148148155E-4</v>
      </c>
      <c r="G269" s="491"/>
      <c r="H269" s="491"/>
      <c r="I269" s="494" t="s">
        <v>4558</v>
      </c>
      <c r="J269" s="495"/>
    </row>
    <row r="270" spans="1:10" s="251" customFormat="1" ht="12" customHeight="1" x14ac:dyDescent="0.15">
      <c r="A270" s="489" t="s">
        <v>3694</v>
      </c>
      <c r="B270" s="490">
        <v>42476</v>
      </c>
      <c r="C270" s="491" t="s">
        <v>3193</v>
      </c>
      <c r="D270" s="492">
        <v>3</v>
      </c>
      <c r="E270" s="491" t="s">
        <v>3500</v>
      </c>
      <c r="F270" s="493">
        <v>4.236111111111111E-4</v>
      </c>
      <c r="G270" s="491"/>
      <c r="H270" s="491"/>
      <c r="I270" s="494" t="s">
        <v>4559</v>
      </c>
      <c r="J270" s="495"/>
    </row>
    <row r="271" spans="1:10" s="251" customFormat="1" ht="12" customHeight="1" x14ac:dyDescent="0.15">
      <c r="A271" s="489" t="s">
        <v>3178</v>
      </c>
      <c r="B271" s="490">
        <v>42476</v>
      </c>
      <c r="C271" s="491" t="s">
        <v>1950</v>
      </c>
      <c r="D271" s="492">
        <v>4</v>
      </c>
      <c r="E271" s="491" t="s">
        <v>3500</v>
      </c>
      <c r="F271" s="493">
        <v>5.7893518518518515E-4</v>
      </c>
      <c r="G271" s="491"/>
      <c r="H271" s="491"/>
      <c r="I271" s="494" t="s">
        <v>4061</v>
      </c>
      <c r="J271" s="495"/>
    </row>
    <row r="272" spans="1:10" s="251" customFormat="1" ht="12" customHeight="1" x14ac:dyDescent="0.15">
      <c r="A272" s="489" t="s">
        <v>3840</v>
      </c>
      <c r="B272" s="490">
        <v>42477</v>
      </c>
      <c r="C272" s="491" t="s">
        <v>1945</v>
      </c>
      <c r="D272" s="492">
        <v>4</v>
      </c>
      <c r="E272" s="491" t="s">
        <v>3500</v>
      </c>
      <c r="F272" s="493">
        <v>5.8796296296296287E-4</v>
      </c>
      <c r="G272" s="491"/>
      <c r="H272" s="491"/>
      <c r="I272" s="494" t="s">
        <v>4569</v>
      </c>
      <c r="J272" s="495"/>
    </row>
    <row r="273" spans="1:10" s="251" customFormat="1" ht="12" customHeight="1" thickBot="1" x14ac:dyDescent="0.2">
      <c r="A273" s="489" t="s">
        <v>3158</v>
      </c>
      <c r="B273" s="490">
        <v>42477</v>
      </c>
      <c r="C273" s="491" t="s">
        <v>1950</v>
      </c>
      <c r="D273" s="492">
        <v>4</v>
      </c>
      <c r="E273" s="491" t="s">
        <v>3500</v>
      </c>
      <c r="F273" s="493">
        <v>5.5868055555555564E-4</v>
      </c>
      <c r="G273" s="491"/>
      <c r="H273" s="491"/>
      <c r="I273" s="491" t="s">
        <v>4477</v>
      </c>
      <c r="J273" s="495"/>
    </row>
    <row r="274" spans="1:10" s="251" customFormat="1" ht="12" customHeight="1" x14ac:dyDescent="0.15">
      <c r="A274" s="540" t="s">
        <v>2121</v>
      </c>
      <c r="B274" s="253">
        <v>42478</v>
      </c>
      <c r="C274" s="254" t="s">
        <v>1950</v>
      </c>
      <c r="D274" s="255">
        <v>5</v>
      </c>
      <c r="E274" s="342" t="s">
        <v>3500</v>
      </c>
      <c r="F274" s="256">
        <v>7.1377314814814817E-4</v>
      </c>
      <c r="G274" s="254"/>
      <c r="H274" s="254"/>
      <c r="I274" s="257" t="s">
        <v>4602</v>
      </c>
      <c r="J274" s="258"/>
    </row>
    <row r="275" spans="1:10" s="251" customFormat="1" ht="12" customHeight="1" x14ac:dyDescent="0.15">
      <c r="A275" s="489" t="s">
        <v>351</v>
      </c>
      <c r="B275" s="490">
        <v>42476</v>
      </c>
      <c r="C275" s="491" t="s">
        <v>4553</v>
      </c>
      <c r="D275" s="492">
        <v>5</v>
      </c>
      <c r="E275" s="491" t="s">
        <v>3501</v>
      </c>
      <c r="F275" s="493">
        <v>7.430555555555555E-4</v>
      </c>
      <c r="G275" s="491"/>
      <c r="H275" s="491"/>
      <c r="I275" s="494" t="s">
        <v>964</v>
      </c>
      <c r="J275" s="495"/>
    </row>
    <row r="276" spans="1:10" s="251" customFormat="1" ht="12" customHeight="1" x14ac:dyDescent="0.15">
      <c r="A276" s="489" t="s">
        <v>2227</v>
      </c>
      <c r="B276" s="490">
        <v>42479</v>
      </c>
      <c r="C276" s="491" t="s">
        <v>1950</v>
      </c>
      <c r="D276" s="492">
        <v>4</v>
      </c>
      <c r="E276" s="491" t="s">
        <v>3500</v>
      </c>
      <c r="F276" s="493">
        <v>5.7905092592592589E-4</v>
      </c>
      <c r="G276" s="491"/>
      <c r="H276" s="491"/>
      <c r="I276" s="494" t="s">
        <v>4603</v>
      </c>
      <c r="J276" s="495"/>
    </row>
    <row r="277" spans="1:10" s="252" customFormat="1" ht="12" customHeight="1" x14ac:dyDescent="0.15">
      <c r="A277" s="496" t="s">
        <v>1816</v>
      </c>
      <c r="B277" s="497">
        <v>42484</v>
      </c>
      <c r="C277" s="498" t="s">
        <v>1950</v>
      </c>
      <c r="D277" s="499">
        <v>5</v>
      </c>
      <c r="E277" s="498" t="s">
        <v>3500</v>
      </c>
      <c r="F277" s="500">
        <v>6.9606481481481472E-4</v>
      </c>
      <c r="G277" s="498"/>
      <c r="H277" s="498"/>
      <c r="I277" s="501" t="s">
        <v>4239</v>
      </c>
      <c r="J277" s="502"/>
    </row>
    <row r="278" spans="1:10" s="251" customFormat="1" ht="12" customHeight="1" x14ac:dyDescent="0.15">
      <c r="A278" s="489" t="s">
        <v>1666</v>
      </c>
      <c r="B278" s="490">
        <v>42483</v>
      </c>
      <c r="C278" s="491" t="s">
        <v>1035</v>
      </c>
      <c r="D278" s="492">
        <v>5</v>
      </c>
      <c r="E278" s="491" t="s">
        <v>3500</v>
      </c>
      <c r="F278" s="493">
        <v>7.1296296296296299E-4</v>
      </c>
      <c r="G278" s="491"/>
      <c r="H278" s="491"/>
      <c r="I278" s="494" t="s">
        <v>4623</v>
      </c>
      <c r="J278" s="495" t="s">
        <v>2383</v>
      </c>
    </row>
    <row r="279" spans="1:10" s="251" customFormat="1" ht="12" customHeight="1" x14ac:dyDescent="0.15">
      <c r="A279" s="489" t="s">
        <v>2166</v>
      </c>
      <c r="B279" s="490">
        <v>42482</v>
      </c>
      <c r="C279" s="491" t="s">
        <v>2315</v>
      </c>
      <c r="D279" s="492">
        <v>4</v>
      </c>
      <c r="E279" s="491" t="s">
        <v>3501</v>
      </c>
      <c r="F279" s="493">
        <v>5.6238425925925933E-4</v>
      </c>
      <c r="G279" s="491"/>
      <c r="H279" s="491"/>
      <c r="I279" s="494" t="s">
        <v>4058</v>
      </c>
      <c r="J279" s="495" t="s">
        <v>4617</v>
      </c>
    </row>
    <row r="280" spans="1:10" s="251" customFormat="1" ht="12" customHeight="1" x14ac:dyDescent="0.15">
      <c r="A280" s="489" t="s">
        <v>2475</v>
      </c>
      <c r="B280" s="490">
        <v>42484</v>
      </c>
      <c r="C280" s="491" t="s">
        <v>2293</v>
      </c>
      <c r="D280" s="492">
        <v>3</v>
      </c>
      <c r="E280" s="491" t="s">
        <v>3500</v>
      </c>
      <c r="F280" s="493">
        <v>4.3055555555555555E-4</v>
      </c>
      <c r="G280" s="491"/>
      <c r="H280" s="491" t="s">
        <v>1249</v>
      </c>
      <c r="I280" s="494" t="s">
        <v>4624</v>
      </c>
      <c r="J280" s="495" t="s">
        <v>4625</v>
      </c>
    </row>
    <row r="281" spans="1:10" s="251" customFormat="1" ht="12" customHeight="1" x14ac:dyDescent="0.15">
      <c r="A281" s="489" t="s">
        <v>1667</v>
      </c>
      <c r="B281" s="490">
        <v>42482</v>
      </c>
      <c r="C281" s="491" t="s">
        <v>2006</v>
      </c>
      <c r="D281" s="492">
        <v>2</v>
      </c>
      <c r="E281" s="491" t="s">
        <v>3500</v>
      </c>
      <c r="F281" s="493">
        <v>3.1134259259259261E-4</v>
      </c>
      <c r="G281" s="491"/>
      <c r="H281" s="491"/>
      <c r="I281" s="494" t="s">
        <v>366</v>
      </c>
      <c r="J281" s="495" t="s">
        <v>4612</v>
      </c>
    </row>
    <row r="282" spans="1:10" s="251" customFormat="1" ht="12" customHeight="1" x14ac:dyDescent="0.15">
      <c r="A282" s="489" t="s">
        <v>4621</v>
      </c>
      <c r="B282" s="490">
        <v>42483</v>
      </c>
      <c r="C282" s="491" t="s">
        <v>4255</v>
      </c>
      <c r="D282" s="492">
        <v>4</v>
      </c>
      <c r="E282" s="491" t="s">
        <v>3500</v>
      </c>
      <c r="F282" s="493">
        <v>5.7870370370370378E-4</v>
      </c>
      <c r="G282" s="491"/>
      <c r="H282" s="491"/>
      <c r="I282" s="494" t="s">
        <v>2232</v>
      </c>
      <c r="J282" s="495" t="s">
        <v>4123</v>
      </c>
    </row>
    <row r="283" spans="1:10" s="251" customFormat="1" ht="12" customHeight="1" x14ac:dyDescent="0.15">
      <c r="A283" s="489" t="s">
        <v>2478</v>
      </c>
      <c r="B283" s="490">
        <v>42481</v>
      </c>
      <c r="C283" s="491" t="s">
        <v>3200</v>
      </c>
      <c r="D283" s="492">
        <v>3</v>
      </c>
      <c r="E283" s="491" t="s">
        <v>3500</v>
      </c>
      <c r="F283" s="493">
        <v>4.3773148148148143E-4</v>
      </c>
      <c r="G283" s="491"/>
      <c r="H283" s="491"/>
      <c r="I283" s="494" t="s">
        <v>3999</v>
      </c>
      <c r="J283" s="495" t="s">
        <v>4609</v>
      </c>
    </row>
    <row r="284" spans="1:10" s="251" customFormat="1" ht="12" customHeight="1" x14ac:dyDescent="0.15">
      <c r="A284" s="489" t="s">
        <v>3645</v>
      </c>
      <c r="B284" s="490">
        <v>42480</v>
      </c>
      <c r="C284" s="491" t="s">
        <v>4605</v>
      </c>
      <c r="D284" s="492">
        <v>3</v>
      </c>
      <c r="E284" s="491" t="s">
        <v>3500</v>
      </c>
      <c r="F284" s="493">
        <v>4.6064814814814818E-4</v>
      </c>
      <c r="G284" s="491" t="s">
        <v>4607</v>
      </c>
      <c r="H284" s="491"/>
      <c r="I284" s="494" t="s">
        <v>4608</v>
      </c>
      <c r="J284" s="495" t="s">
        <v>4606</v>
      </c>
    </row>
    <row r="285" spans="1:10" s="597" customFormat="1" ht="12" customHeight="1" x14ac:dyDescent="0.15">
      <c r="A285" s="590" t="s">
        <v>3318</v>
      </c>
      <c r="B285" s="591">
        <v>42479</v>
      </c>
      <c r="C285" s="592" t="s">
        <v>4278</v>
      </c>
      <c r="D285" s="593">
        <v>2</v>
      </c>
      <c r="E285" s="592" t="s">
        <v>3500</v>
      </c>
      <c r="F285" s="594">
        <v>2.8703703703703703E-4</v>
      </c>
      <c r="G285" s="592"/>
      <c r="H285" s="592" t="s">
        <v>1249</v>
      </c>
      <c r="I285" s="595" t="s">
        <v>2232</v>
      </c>
      <c r="J285" s="596" t="s">
        <v>4604</v>
      </c>
    </row>
    <row r="286" spans="1:10" s="251" customFormat="1" ht="12" customHeight="1" x14ac:dyDescent="0.15">
      <c r="A286" s="489" t="s">
        <v>3181</v>
      </c>
      <c r="B286" s="490">
        <v>42480</v>
      </c>
      <c r="C286" s="491" t="s">
        <v>2293</v>
      </c>
      <c r="D286" s="492">
        <v>3</v>
      </c>
      <c r="E286" s="491" t="s">
        <v>3500</v>
      </c>
      <c r="F286" s="493">
        <v>4.6064814814814818E-4</v>
      </c>
      <c r="G286" s="491"/>
      <c r="H286" s="491"/>
      <c r="I286" s="494" t="s">
        <v>3156</v>
      </c>
      <c r="J286" s="495"/>
    </row>
    <row r="287" spans="1:10" s="251" customFormat="1" ht="12" customHeight="1" x14ac:dyDescent="0.15">
      <c r="A287" s="489" t="s">
        <v>33</v>
      </c>
      <c r="B287" s="490">
        <v>42480</v>
      </c>
      <c r="C287" s="491" t="s">
        <v>3212</v>
      </c>
      <c r="D287" s="492">
        <v>4</v>
      </c>
      <c r="E287" s="491" t="s">
        <v>3500</v>
      </c>
      <c r="F287" s="493">
        <v>6.018518518518519E-4</v>
      </c>
      <c r="G287" s="491"/>
      <c r="H287" s="491"/>
      <c r="I287" s="494" t="s">
        <v>3981</v>
      </c>
      <c r="J287" s="495"/>
    </row>
    <row r="288" spans="1:10" s="251" customFormat="1" ht="12" customHeight="1" x14ac:dyDescent="0.15">
      <c r="A288" s="489" t="s">
        <v>3682</v>
      </c>
      <c r="B288" s="490">
        <v>42482</v>
      </c>
      <c r="C288" s="491" t="s">
        <v>2293</v>
      </c>
      <c r="D288" s="492">
        <v>4</v>
      </c>
      <c r="E288" s="491" t="s">
        <v>3500</v>
      </c>
      <c r="F288" s="493">
        <v>5.8333333333333338E-4</v>
      </c>
      <c r="G288" s="491"/>
      <c r="H288" s="491"/>
      <c r="I288" s="494" t="s">
        <v>4613</v>
      </c>
      <c r="J288" s="495"/>
    </row>
    <row r="289" spans="1:10" s="251" customFormat="1" ht="12" customHeight="1" x14ac:dyDescent="0.15">
      <c r="A289" s="489" t="s">
        <v>3333</v>
      </c>
      <c r="B289" s="490">
        <v>42482</v>
      </c>
      <c r="C289" s="491" t="s">
        <v>4460</v>
      </c>
      <c r="D289" s="492">
        <v>4</v>
      </c>
      <c r="E289" s="491" t="s">
        <v>3500</v>
      </c>
      <c r="F289" s="493">
        <v>5.7870370370370378E-4</v>
      </c>
      <c r="G289" s="491"/>
      <c r="H289" s="491"/>
      <c r="I289" s="494" t="s">
        <v>4614</v>
      </c>
      <c r="J289" s="495"/>
    </row>
    <row r="290" spans="1:10" s="251" customFormat="1" ht="12" customHeight="1" x14ac:dyDescent="0.15">
      <c r="A290" s="489" t="s">
        <v>121</v>
      </c>
      <c r="B290" s="490">
        <v>42482</v>
      </c>
      <c r="C290" s="491" t="s">
        <v>1957</v>
      </c>
      <c r="D290" s="492">
        <v>5</v>
      </c>
      <c r="E290" s="491" t="s">
        <v>3500</v>
      </c>
      <c r="F290" s="493">
        <v>7.6851851851851853E-4</v>
      </c>
      <c r="G290" s="491"/>
      <c r="H290" s="491"/>
      <c r="I290" s="494" t="s">
        <v>4615</v>
      </c>
      <c r="J290" s="495"/>
    </row>
    <row r="291" spans="1:10" s="251" customFormat="1" ht="12" customHeight="1" x14ac:dyDescent="0.15">
      <c r="A291" s="489" t="s">
        <v>42</v>
      </c>
      <c r="B291" s="490">
        <v>42483</v>
      </c>
      <c r="C291" s="491" t="s">
        <v>4619</v>
      </c>
      <c r="D291" s="492">
        <v>4</v>
      </c>
      <c r="E291" s="491" t="s">
        <v>3500</v>
      </c>
      <c r="F291" s="493">
        <v>5.9490740740740739E-4</v>
      </c>
      <c r="G291" s="491"/>
      <c r="H291" s="491"/>
      <c r="I291" s="494" t="s">
        <v>4620</v>
      </c>
      <c r="J291" s="495"/>
    </row>
    <row r="292" spans="1:10" s="251" customFormat="1" ht="12" customHeight="1" x14ac:dyDescent="0.15">
      <c r="A292" s="489" t="s">
        <v>4396</v>
      </c>
      <c r="B292" s="490">
        <v>42483</v>
      </c>
      <c r="C292" s="491" t="s">
        <v>2315</v>
      </c>
      <c r="D292" s="492">
        <v>4</v>
      </c>
      <c r="E292" s="491" t="s">
        <v>3501</v>
      </c>
      <c r="F292" s="493">
        <v>5.9942129629629625E-4</v>
      </c>
      <c r="G292" s="491"/>
      <c r="H292" s="491"/>
      <c r="I292" s="494" t="s">
        <v>4622</v>
      </c>
      <c r="J292" s="495"/>
    </row>
    <row r="293" spans="1:10" s="251" customFormat="1" ht="12" customHeight="1" x14ac:dyDescent="0.15">
      <c r="A293" s="489" t="s">
        <v>1953</v>
      </c>
      <c r="B293" s="490">
        <v>42483</v>
      </c>
      <c r="C293" s="491" t="s">
        <v>3286</v>
      </c>
      <c r="D293" s="492">
        <v>5</v>
      </c>
      <c r="E293" s="491" t="s">
        <v>3500</v>
      </c>
      <c r="F293" s="493">
        <v>7.1527777777777779E-4</v>
      </c>
      <c r="G293" s="491"/>
      <c r="H293" s="491"/>
      <c r="I293" s="494" t="s">
        <v>4025</v>
      </c>
      <c r="J293" s="495"/>
    </row>
    <row r="294" spans="1:10" s="251" customFormat="1" ht="12" customHeight="1" x14ac:dyDescent="0.15">
      <c r="A294" s="489" t="s">
        <v>3266</v>
      </c>
      <c r="B294" s="490">
        <v>42484</v>
      </c>
      <c r="C294" s="491" t="s">
        <v>1950</v>
      </c>
      <c r="D294" s="492">
        <v>4</v>
      </c>
      <c r="E294" s="491" t="s">
        <v>3500</v>
      </c>
      <c r="F294" s="493">
        <v>5.5636574074074074E-4</v>
      </c>
      <c r="G294" s="491"/>
      <c r="H294" s="491"/>
      <c r="I294" s="494" t="s">
        <v>3632</v>
      </c>
      <c r="J294" s="495"/>
    </row>
    <row r="295" spans="1:10" s="251" customFormat="1" ht="12" customHeight="1" x14ac:dyDescent="0.15">
      <c r="A295" s="489" t="s">
        <v>2276</v>
      </c>
      <c r="B295" s="490">
        <v>42484</v>
      </c>
      <c r="C295" s="491" t="s">
        <v>1950</v>
      </c>
      <c r="D295" s="492">
        <v>5</v>
      </c>
      <c r="E295" s="491" t="s">
        <v>3500</v>
      </c>
      <c r="F295" s="493">
        <v>7.0613425925925922E-4</v>
      </c>
      <c r="G295" s="491"/>
      <c r="H295" s="491"/>
      <c r="I295" s="494" t="s">
        <v>4626</v>
      </c>
      <c r="J295" s="495"/>
    </row>
    <row r="296" spans="1:10" s="251" customFormat="1" ht="12" customHeight="1" thickBot="1" x14ac:dyDescent="0.2">
      <c r="A296" s="489" t="s">
        <v>3158</v>
      </c>
      <c r="B296" s="490">
        <v>42484</v>
      </c>
      <c r="C296" s="491" t="s">
        <v>1950</v>
      </c>
      <c r="D296" s="492">
        <v>4</v>
      </c>
      <c r="E296" s="491" t="s">
        <v>3500</v>
      </c>
      <c r="F296" s="493">
        <v>5.5949074074074082E-4</v>
      </c>
      <c r="G296" s="491"/>
      <c r="H296" s="491"/>
      <c r="I296" s="491" t="s">
        <v>4627</v>
      </c>
      <c r="J296" s="495"/>
    </row>
    <row r="297" spans="1:10" s="251" customFormat="1" ht="12" customHeight="1" x14ac:dyDescent="0.15">
      <c r="A297" s="540" t="s">
        <v>1826</v>
      </c>
      <c r="B297" s="253">
        <v>42485</v>
      </c>
      <c r="C297" s="254" t="s">
        <v>2315</v>
      </c>
      <c r="D297" s="255">
        <v>3</v>
      </c>
      <c r="E297" s="342" t="s">
        <v>3500</v>
      </c>
      <c r="F297" s="256">
        <v>4.6296296296296293E-4</v>
      </c>
      <c r="G297" s="254"/>
      <c r="H297" s="254"/>
      <c r="I297" s="257" t="s">
        <v>4638</v>
      </c>
      <c r="J297" s="258" t="s">
        <v>391</v>
      </c>
    </row>
    <row r="298" spans="1:10" s="251" customFormat="1" ht="12" customHeight="1" x14ac:dyDescent="0.15">
      <c r="A298" s="489" t="s">
        <v>3645</v>
      </c>
      <c r="B298" s="490">
        <v>42485</v>
      </c>
      <c r="C298" s="491" t="s">
        <v>4605</v>
      </c>
      <c r="D298" s="492">
        <v>4</v>
      </c>
      <c r="E298" s="491" t="s">
        <v>3500</v>
      </c>
      <c r="F298" s="493">
        <v>6.087962962962963E-4</v>
      </c>
      <c r="G298" s="491"/>
      <c r="H298" s="491"/>
      <c r="I298" s="494" t="s">
        <v>4061</v>
      </c>
      <c r="J298" s="495" t="s">
        <v>391</v>
      </c>
    </row>
    <row r="299" spans="1:10" s="251" customFormat="1" ht="12" customHeight="1" x14ac:dyDescent="0.15">
      <c r="A299" s="489" t="s">
        <v>3333</v>
      </c>
      <c r="B299" s="490">
        <v>42490</v>
      </c>
      <c r="C299" s="491" t="s">
        <v>4683</v>
      </c>
      <c r="D299" s="492">
        <v>4</v>
      </c>
      <c r="E299" s="491" t="s">
        <v>3500</v>
      </c>
      <c r="F299" s="493">
        <v>5.6018518518518516E-4</v>
      </c>
      <c r="G299" s="491"/>
      <c r="H299" s="491"/>
      <c r="I299" s="494" t="s">
        <v>4684</v>
      </c>
      <c r="J299" s="495" t="s">
        <v>391</v>
      </c>
    </row>
    <row r="300" spans="1:10" s="251" customFormat="1" ht="12" customHeight="1" x14ac:dyDescent="0.15">
      <c r="A300" s="489" t="s">
        <v>3203</v>
      </c>
      <c r="B300" s="490">
        <v>42490</v>
      </c>
      <c r="C300" s="491" t="s">
        <v>4683</v>
      </c>
      <c r="D300" s="492">
        <v>5</v>
      </c>
      <c r="E300" s="491" t="s">
        <v>3501</v>
      </c>
      <c r="F300" s="493">
        <v>7.0601851851851847E-4</v>
      </c>
      <c r="G300" s="491"/>
      <c r="H300" s="491"/>
      <c r="I300" s="494" t="s">
        <v>4685</v>
      </c>
      <c r="J300" s="495" t="s">
        <v>391</v>
      </c>
    </row>
    <row r="301" spans="1:10" s="251" customFormat="1" ht="12" customHeight="1" x14ac:dyDescent="0.15">
      <c r="A301" s="489" t="s">
        <v>3175</v>
      </c>
      <c r="B301" s="490">
        <v>42490</v>
      </c>
      <c r="C301" s="491" t="s">
        <v>1950</v>
      </c>
      <c r="D301" s="492">
        <v>4</v>
      </c>
      <c r="E301" s="491" t="s">
        <v>3500</v>
      </c>
      <c r="F301" s="493">
        <v>6.1527777777777774E-4</v>
      </c>
      <c r="G301" s="491"/>
      <c r="H301" s="491"/>
      <c r="I301" s="494" t="s">
        <v>4681</v>
      </c>
      <c r="J301" s="495" t="s">
        <v>4682</v>
      </c>
    </row>
    <row r="302" spans="1:10" s="251" customFormat="1" ht="12" customHeight="1" x14ac:dyDescent="0.15">
      <c r="A302" s="489" t="s">
        <v>2157</v>
      </c>
      <c r="B302" s="490">
        <v>42486</v>
      </c>
      <c r="C302" s="491" t="s">
        <v>4660</v>
      </c>
      <c r="D302" s="492">
        <v>4</v>
      </c>
      <c r="E302" s="491" t="s">
        <v>3500</v>
      </c>
      <c r="F302" s="493">
        <v>5.7870370370370378E-4</v>
      </c>
      <c r="G302" s="491"/>
      <c r="H302" s="491"/>
      <c r="I302" s="494" t="s">
        <v>4288</v>
      </c>
      <c r="J302" s="495" t="s">
        <v>4233</v>
      </c>
    </row>
    <row r="303" spans="1:10" s="251" customFormat="1" ht="12" customHeight="1" x14ac:dyDescent="0.15">
      <c r="A303" s="599" t="s">
        <v>1539</v>
      </c>
      <c r="B303" s="568">
        <v>42485</v>
      </c>
      <c r="C303" s="569" t="s">
        <v>1945</v>
      </c>
      <c r="D303" s="570">
        <v>3</v>
      </c>
      <c r="E303" s="600" t="s">
        <v>3500</v>
      </c>
      <c r="F303" s="571">
        <v>4.2824074074074075E-4</v>
      </c>
      <c r="G303" s="569"/>
      <c r="H303" s="569"/>
      <c r="I303" s="572" t="s">
        <v>2303</v>
      </c>
      <c r="J303" s="573" t="s">
        <v>4641</v>
      </c>
    </row>
    <row r="304" spans="1:10" s="251" customFormat="1" ht="12" customHeight="1" x14ac:dyDescent="0.15">
      <c r="A304" s="489" t="s">
        <v>1965</v>
      </c>
      <c r="B304" s="490">
        <v>42485</v>
      </c>
      <c r="C304" s="491" t="s">
        <v>4639</v>
      </c>
      <c r="D304" s="492">
        <v>3</v>
      </c>
      <c r="E304" s="491" t="s">
        <v>3500</v>
      </c>
      <c r="F304" s="493">
        <v>4.4444444444444441E-4</v>
      </c>
      <c r="G304" s="491"/>
      <c r="H304" s="491"/>
      <c r="I304" s="494" t="s">
        <v>4288</v>
      </c>
      <c r="J304" s="495" t="s">
        <v>4640</v>
      </c>
    </row>
    <row r="305" spans="1:10" s="251" customFormat="1" ht="12" customHeight="1" x14ac:dyDescent="0.15">
      <c r="A305" s="489" t="s">
        <v>3176</v>
      </c>
      <c r="B305" s="490">
        <v>42487</v>
      </c>
      <c r="C305" s="491" t="s">
        <v>4283</v>
      </c>
      <c r="D305" s="492">
        <v>3</v>
      </c>
      <c r="E305" s="491" t="s">
        <v>3500</v>
      </c>
      <c r="F305" s="493">
        <v>4.4907407407407401E-4</v>
      </c>
      <c r="G305" s="491"/>
      <c r="H305" s="491"/>
      <c r="I305" s="494" t="s">
        <v>4144</v>
      </c>
      <c r="J305" s="495" t="s">
        <v>4330</v>
      </c>
    </row>
    <row r="306" spans="1:10" s="597" customFormat="1" ht="12" customHeight="1" x14ac:dyDescent="0.15">
      <c r="A306" s="590" t="s">
        <v>3099</v>
      </c>
      <c r="B306" s="591">
        <v>42490</v>
      </c>
      <c r="C306" s="592" t="s">
        <v>2293</v>
      </c>
      <c r="D306" s="593">
        <v>3</v>
      </c>
      <c r="E306" s="592" t="s">
        <v>3500</v>
      </c>
      <c r="F306" s="594">
        <v>4.3055555555555555E-4</v>
      </c>
      <c r="G306" s="592"/>
      <c r="H306" s="592"/>
      <c r="I306" s="595" t="s">
        <v>4692</v>
      </c>
      <c r="J306" s="596" t="s">
        <v>2428</v>
      </c>
    </row>
    <row r="307" spans="1:10" s="252" customFormat="1" ht="12" customHeight="1" x14ac:dyDescent="0.15">
      <c r="A307" s="496" t="s">
        <v>33</v>
      </c>
      <c r="B307" s="497">
        <v>42487</v>
      </c>
      <c r="C307" s="498" t="s">
        <v>3212</v>
      </c>
      <c r="D307" s="499">
        <v>4</v>
      </c>
      <c r="E307" s="498" t="s">
        <v>3500</v>
      </c>
      <c r="F307" s="500">
        <v>5.9027777777777778E-4</v>
      </c>
      <c r="G307" s="498"/>
      <c r="H307" s="498"/>
      <c r="I307" s="501" t="s">
        <v>3191</v>
      </c>
      <c r="J307" s="502"/>
    </row>
    <row r="308" spans="1:10" s="251" customFormat="1" ht="12" customHeight="1" x14ac:dyDescent="0.15">
      <c r="A308" s="489" t="s">
        <v>3181</v>
      </c>
      <c r="B308" s="490">
        <v>42487</v>
      </c>
      <c r="C308" s="491" t="s">
        <v>2293</v>
      </c>
      <c r="D308" s="492">
        <v>3</v>
      </c>
      <c r="E308" s="491" t="s">
        <v>3500</v>
      </c>
      <c r="F308" s="493">
        <v>4.3055555555555555E-4</v>
      </c>
      <c r="G308" s="491" t="s">
        <v>961</v>
      </c>
      <c r="H308" s="491"/>
      <c r="I308" s="494" t="s">
        <v>3224</v>
      </c>
      <c r="J308" s="495" t="s">
        <v>2383</v>
      </c>
    </row>
    <row r="309" spans="1:10" s="251" customFormat="1" ht="12" customHeight="1" x14ac:dyDescent="0.15">
      <c r="A309" s="489" t="s">
        <v>1666</v>
      </c>
      <c r="B309" s="490">
        <v>42490</v>
      </c>
      <c r="C309" s="491" t="s">
        <v>1035</v>
      </c>
      <c r="D309" s="492">
        <v>5</v>
      </c>
      <c r="E309" s="491" t="s">
        <v>3500</v>
      </c>
      <c r="F309" s="493">
        <v>6.9444444444444447E-4</v>
      </c>
      <c r="G309" s="491"/>
      <c r="H309" s="491"/>
      <c r="I309" s="494" t="s">
        <v>4686</v>
      </c>
      <c r="J309" s="495" t="s">
        <v>2383</v>
      </c>
    </row>
    <row r="310" spans="1:10" s="251" customFormat="1" ht="12" customHeight="1" x14ac:dyDescent="0.15">
      <c r="A310" s="489" t="s">
        <v>2227</v>
      </c>
      <c r="B310" s="490">
        <v>42486</v>
      </c>
      <c r="C310" s="491" t="s">
        <v>1950</v>
      </c>
      <c r="D310" s="492">
        <v>3</v>
      </c>
      <c r="E310" s="491" t="s">
        <v>3500</v>
      </c>
      <c r="F310" s="493">
        <v>4.2453703703703702E-4</v>
      </c>
      <c r="G310" s="491"/>
      <c r="H310" s="491"/>
      <c r="I310" s="494" t="s">
        <v>4284</v>
      </c>
      <c r="J310" s="495" t="s">
        <v>4662</v>
      </c>
    </row>
    <row r="311" spans="1:10" s="251" customFormat="1" ht="12" customHeight="1" x14ac:dyDescent="0.15">
      <c r="A311" s="489" t="s">
        <v>4121</v>
      </c>
      <c r="B311" s="490">
        <v>42490</v>
      </c>
      <c r="C311" s="491" t="s">
        <v>4639</v>
      </c>
      <c r="D311" s="492">
        <v>4</v>
      </c>
      <c r="E311" s="491" t="s">
        <v>3500</v>
      </c>
      <c r="F311" s="493">
        <v>5.5092592592592595E-4</v>
      </c>
      <c r="G311" s="491"/>
      <c r="H311" s="491"/>
      <c r="I311" s="494" t="s">
        <v>4679</v>
      </c>
      <c r="J311" s="495" t="s">
        <v>4680</v>
      </c>
    </row>
    <row r="312" spans="1:10" s="251" customFormat="1" ht="12" customHeight="1" x14ac:dyDescent="0.15">
      <c r="A312" s="489" t="s">
        <v>1295</v>
      </c>
      <c r="B312" s="490">
        <v>42490</v>
      </c>
      <c r="C312" s="491" t="s">
        <v>3286</v>
      </c>
      <c r="D312" s="492">
        <v>5</v>
      </c>
      <c r="E312" s="491" t="s">
        <v>3500</v>
      </c>
      <c r="F312" s="493">
        <v>7.1296296296296299E-4</v>
      </c>
      <c r="G312" s="491"/>
      <c r="H312" s="491"/>
      <c r="I312" s="494" t="s">
        <v>4687</v>
      </c>
      <c r="J312" s="495" t="s">
        <v>4688</v>
      </c>
    </row>
    <row r="313" spans="1:10" s="251" customFormat="1" ht="12" customHeight="1" x14ac:dyDescent="0.15">
      <c r="A313" s="489" t="s">
        <v>1831</v>
      </c>
      <c r="B313" s="490">
        <v>42490</v>
      </c>
      <c r="C313" s="491" t="s">
        <v>1950</v>
      </c>
      <c r="D313" s="492">
        <v>4</v>
      </c>
      <c r="E313" s="491" t="s">
        <v>3500</v>
      </c>
      <c r="F313" s="493">
        <v>5.6678240740740734E-4</v>
      </c>
      <c r="G313" s="491"/>
      <c r="H313" s="491"/>
      <c r="I313" s="494" t="s">
        <v>4724</v>
      </c>
      <c r="J313" s="495"/>
    </row>
    <row r="314" spans="1:10" s="251" customFormat="1" ht="12" customHeight="1" x14ac:dyDescent="0.15">
      <c r="A314" s="489" t="s">
        <v>4621</v>
      </c>
      <c r="B314" s="490">
        <v>42487</v>
      </c>
      <c r="C314" s="491" t="s">
        <v>4255</v>
      </c>
      <c r="D314" s="492">
        <v>3</v>
      </c>
      <c r="E314" s="491" t="s">
        <v>3500</v>
      </c>
      <c r="F314" s="493">
        <v>4.2824074074074075E-4</v>
      </c>
      <c r="G314" s="491"/>
      <c r="H314" s="491"/>
      <c r="I314" s="494" t="s">
        <v>964</v>
      </c>
      <c r="J314" s="495"/>
    </row>
    <row r="315" spans="1:10" s="251" customFormat="1" ht="12" customHeight="1" x14ac:dyDescent="0.15">
      <c r="A315" s="489" t="s">
        <v>3899</v>
      </c>
      <c r="B315" s="490">
        <v>42487</v>
      </c>
      <c r="C315" s="491" t="s">
        <v>1948</v>
      </c>
      <c r="D315" s="492">
        <v>4</v>
      </c>
      <c r="E315" s="491" t="s">
        <v>3500</v>
      </c>
      <c r="F315" s="493">
        <v>5.574074074074074E-4</v>
      </c>
      <c r="G315" s="491"/>
      <c r="H315" s="491"/>
      <c r="I315" s="494" t="s">
        <v>3270</v>
      </c>
      <c r="J315" s="495"/>
    </row>
    <row r="316" spans="1:10" s="251" customFormat="1" ht="12" customHeight="1" x14ac:dyDescent="0.15">
      <c r="A316" s="489" t="s">
        <v>3840</v>
      </c>
      <c r="B316" s="490">
        <v>42487</v>
      </c>
      <c r="C316" s="491" t="s">
        <v>1945</v>
      </c>
      <c r="D316" s="492">
        <v>4</v>
      </c>
      <c r="E316" s="491" t="s">
        <v>3500</v>
      </c>
      <c r="F316" s="493">
        <v>5.6944444444444447E-4</v>
      </c>
      <c r="G316" s="491"/>
      <c r="H316" s="491"/>
      <c r="I316" s="494" t="s">
        <v>4098</v>
      </c>
      <c r="J316" s="495"/>
    </row>
    <row r="317" spans="1:10" s="251" customFormat="1" ht="12" customHeight="1" x14ac:dyDescent="0.15">
      <c r="A317" s="489" t="s">
        <v>3182</v>
      </c>
      <c r="B317" s="490">
        <v>42487</v>
      </c>
      <c r="C317" s="491" t="s">
        <v>1950</v>
      </c>
      <c r="D317" s="492">
        <v>4</v>
      </c>
      <c r="E317" s="491" t="s">
        <v>3500</v>
      </c>
      <c r="F317" s="493">
        <v>5.8402777777777782E-4</v>
      </c>
      <c r="G317" s="491"/>
      <c r="H317" s="491"/>
      <c r="I317" s="494" t="s">
        <v>4098</v>
      </c>
      <c r="J317" s="495"/>
    </row>
    <row r="318" spans="1:10" s="251" customFormat="1" ht="12" customHeight="1" x14ac:dyDescent="0.15">
      <c r="A318" s="489" t="s">
        <v>2121</v>
      </c>
      <c r="B318" s="490">
        <v>42486</v>
      </c>
      <c r="C318" s="491" t="s">
        <v>1950</v>
      </c>
      <c r="D318" s="492">
        <v>5</v>
      </c>
      <c r="E318" s="491" t="s">
        <v>3500</v>
      </c>
      <c r="F318" s="493">
        <v>7.3587962962962973E-4</v>
      </c>
      <c r="G318" s="491"/>
      <c r="H318" s="491"/>
      <c r="I318" s="494" t="s">
        <v>4661</v>
      </c>
      <c r="J318" s="495"/>
    </row>
    <row r="319" spans="1:10" s="251" customFormat="1" ht="12" customHeight="1" x14ac:dyDescent="0.15">
      <c r="A319" s="489" t="s">
        <v>121</v>
      </c>
      <c r="B319" s="490">
        <v>42490</v>
      </c>
      <c r="C319" s="491" t="s">
        <v>1957</v>
      </c>
      <c r="D319" s="492">
        <v>5</v>
      </c>
      <c r="E319" s="491" t="s">
        <v>3500</v>
      </c>
      <c r="F319" s="493">
        <v>7.4768518518518511E-4</v>
      </c>
      <c r="G319" s="491"/>
      <c r="H319" s="491"/>
      <c r="I319" s="494" t="s">
        <v>4678</v>
      </c>
      <c r="J319" s="495"/>
    </row>
    <row r="320" spans="1:10" s="251" customFormat="1" ht="12" customHeight="1" x14ac:dyDescent="0.15">
      <c r="A320" s="489" t="s">
        <v>2480</v>
      </c>
      <c r="B320" s="490">
        <v>42490</v>
      </c>
      <c r="C320" s="491" t="s">
        <v>1948</v>
      </c>
      <c r="D320" s="492">
        <v>3</v>
      </c>
      <c r="E320" s="491" t="s">
        <v>3500</v>
      </c>
      <c r="F320" s="493">
        <v>4.2442129629629638E-4</v>
      </c>
      <c r="G320" s="491"/>
      <c r="H320" s="491"/>
      <c r="I320" s="494" t="s">
        <v>4690</v>
      </c>
      <c r="J320" s="495"/>
    </row>
    <row r="321" spans="1:10" s="251" customFormat="1" ht="12" customHeight="1" thickBot="1" x14ac:dyDescent="0.2">
      <c r="A321" s="489" t="s">
        <v>57</v>
      </c>
      <c r="B321" s="490">
        <v>42490</v>
      </c>
      <c r="C321" s="491" t="s">
        <v>2293</v>
      </c>
      <c r="D321" s="492">
        <v>4</v>
      </c>
      <c r="E321" s="491" t="s">
        <v>3500</v>
      </c>
      <c r="F321" s="493">
        <v>5.7638888888888887E-4</v>
      </c>
      <c r="G321" s="491"/>
      <c r="H321" s="491"/>
      <c r="I321" s="491" t="s">
        <v>4691</v>
      </c>
      <c r="J321" s="495"/>
    </row>
    <row r="322" spans="1:10" s="251" customFormat="1" ht="12" customHeight="1" x14ac:dyDescent="0.15">
      <c r="A322" s="540" t="s">
        <v>2278</v>
      </c>
      <c r="B322" s="253">
        <v>42492</v>
      </c>
      <c r="C322" s="254" t="s">
        <v>4000</v>
      </c>
      <c r="D322" s="255">
        <v>5</v>
      </c>
      <c r="E322" s="342" t="s">
        <v>3500</v>
      </c>
      <c r="F322" s="256">
        <v>7.1990740740740739E-4</v>
      </c>
      <c r="G322" s="254"/>
      <c r="H322" s="254"/>
      <c r="I322" s="257" t="s">
        <v>964</v>
      </c>
      <c r="J322" s="258"/>
    </row>
    <row r="323" spans="1:10" s="251" customFormat="1" ht="12" customHeight="1" x14ac:dyDescent="0.15">
      <c r="A323" s="489" t="s">
        <v>1539</v>
      </c>
      <c r="B323" s="490">
        <v>42492</v>
      </c>
      <c r="C323" s="491" t="s">
        <v>1945</v>
      </c>
      <c r="D323" s="492">
        <v>3</v>
      </c>
      <c r="E323" s="491" t="s">
        <v>3500</v>
      </c>
      <c r="F323" s="493">
        <v>4.3287037037037035E-4</v>
      </c>
      <c r="G323" s="491"/>
      <c r="H323" s="491"/>
      <c r="I323" s="494" t="s">
        <v>964</v>
      </c>
      <c r="J323" s="495"/>
    </row>
    <row r="324" spans="1:10" s="251" customFormat="1" ht="12" customHeight="1" x14ac:dyDescent="0.15">
      <c r="A324" s="489" t="s">
        <v>1953</v>
      </c>
      <c r="B324" s="490">
        <v>42495</v>
      </c>
      <c r="C324" s="491" t="s">
        <v>2317</v>
      </c>
      <c r="D324" s="492">
        <v>3</v>
      </c>
      <c r="E324" s="491" t="s">
        <v>3500</v>
      </c>
      <c r="F324" s="493">
        <v>4.5138888888888892E-4</v>
      </c>
      <c r="G324" s="491" t="s">
        <v>4366</v>
      </c>
      <c r="H324" s="491"/>
      <c r="I324" s="494" t="s">
        <v>2232</v>
      </c>
      <c r="J324" s="495"/>
    </row>
    <row r="325" spans="1:10" s="251" customFormat="1" ht="12" customHeight="1" x14ac:dyDescent="0.15">
      <c r="A325" s="489" t="s">
        <v>58</v>
      </c>
      <c r="B325" s="490">
        <v>42495</v>
      </c>
      <c r="C325" s="491" t="s">
        <v>4778</v>
      </c>
      <c r="D325" s="492">
        <v>3</v>
      </c>
      <c r="E325" s="491" t="s">
        <v>3500</v>
      </c>
      <c r="F325" s="493">
        <v>4.3981481481481481E-4</v>
      </c>
      <c r="G325" s="491"/>
      <c r="H325" s="491"/>
      <c r="I325" s="494" t="s">
        <v>4436</v>
      </c>
      <c r="J325" s="495"/>
    </row>
    <row r="326" spans="1:10" s="251" customFormat="1" ht="12" customHeight="1" x14ac:dyDescent="0.15">
      <c r="A326" s="489" t="s">
        <v>2176</v>
      </c>
      <c r="B326" s="490">
        <v>42497</v>
      </c>
      <c r="C326" s="491" t="s">
        <v>2315</v>
      </c>
      <c r="D326" s="492">
        <v>4</v>
      </c>
      <c r="E326" s="491" t="s">
        <v>3500</v>
      </c>
      <c r="F326" s="493">
        <v>5.7581018518518517E-4</v>
      </c>
      <c r="G326" s="491" t="s">
        <v>960</v>
      </c>
      <c r="H326" s="491"/>
      <c r="I326" s="494" t="s">
        <v>964</v>
      </c>
      <c r="J326" s="495"/>
    </row>
    <row r="327" spans="1:10" s="251" customFormat="1" ht="12" customHeight="1" x14ac:dyDescent="0.15">
      <c r="A327" s="489" t="s">
        <v>3183</v>
      </c>
      <c r="B327" s="490">
        <v>42496</v>
      </c>
      <c r="C327" s="491" t="s">
        <v>3744</v>
      </c>
      <c r="D327" s="492">
        <v>4</v>
      </c>
      <c r="E327" s="491" t="s">
        <v>3500</v>
      </c>
      <c r="F327" s="493">
        <v>5.8333333333333338E-4</v>
      </c>
      <c r="G327" s="491"/>
      <c r="H327" s="491"/>
      <c r="I327" s="494" t="s">
        <v>3191</v>
      </c>
      <c r="J327" s="495"/>
    </row>
    <row r="328" spans="1:10" s="251" customFormat="1" ht="12" customHeight="1" x14ac:dyDescent="0.15">
      <c r="A328" s="489" t="s">
        <v>351</v>
      </c>
      <c r="B328" s="490">
        <v>42492</v>
      </c>
      <c r="C328" s="491" t="s">
        <v>4704</v>
      </c>
      <c r="D328" s="492">
        <v>4</v>
      </c>
      <c r="E328" s="491" t="s">
        <v>3501</v>
      </c>
      <c r="F328" s="493">
        <v>5.6944444444444447E-4</v>
      </c>
      <c r="G328" s="491"/>
      <c r="H328" s="491"/>
      <c r="I328" s="494" t="s">
        <v>4705</v>
      </c>
      <c r="J328" s="495" t="s">
        <v>4733</v>
      </c>
    </row>
    <row r="329" spans="1:10" s="251" customFormat="1" ht="12" customHeight="1" x14ac:dyDescent="0.15">
      <c r="A329" s="489" t="s">
        <v>1943</v>
      </c>
      <c r="B329" s="490">
        <v>42495</v>
      </c>
      <c r="C329" s="491" t="s">
        <v>4715</v>
      </c>
      <c r="D329" s="492">
        <v>4</v>
      </c>
      <c r="E329" s="491" t="s">
        <v>3500</v>
      </c>
      <c r="F329" s="493">
        <v>5.7175925925925927E-4</v>
      </c>
      <c r="G329" s="491"/>
      <c r="H329" s="491"/>
      <c r="I329" s="494" t="s">
        <v>4286</v>
      </c>
      <c r="J329" s="495" t="s">
        <v>4716</v>
      </c>
    </row>
    <row r="330" spans="1:10" s="251" customFormat="1" ht="12" customHeight="1" x14ac:dyDescent="0.15">
      <c r="A330" s="489" t="s">
        <v>1557</v>
      </c>
      <c r="B330" s="490">
        <v>42497</v>
      </c>
      <c r="C330" s="491" t="s">
        <v>4721</v>
      </c>
      <c r="D330" s="492">
        <v>4</v>
      </c>
      <c r="E330" s="491" t="s">
        <v>3500</v>
      </c>
      <c r="F330" s="493">
        <v>5.7164351851851853E-4</v>
      </c>
      <c r="G330" s="491"/>
      <c r="H330" s="491"/>
      <c r="I330" s="494" t="s">
        <v>4722</v>
      </c>
      <c r="J330" s="495" t="s">
        <v>4723</v>
      </c>
    </row>
    <row r="331" spans="1:10" s="251" customFormat="1" ht="12" customHeight="1" x14ac:dyDescent="0.15">
      <c r="A331" s="489" t="s">
        <v>2365</v>
      </c>
      <c r="B331" s="490">
        <v>42495</v>
      </c>
      <c r="C331" s="491" t="s">
        <v>4417</v>
      </c>
      <c r="D331" s="492">
        <v>5</v>
      </c>
      <c r="E331" s="491" t="s">
        <v>3501</v>
      </c>
      <c r="F331" s="493">
        <v>7.2685185185185179E-4</v>
      </c>
      <c r="G331" s="491"/>
      <c r="H331" s="491"/>
      <c r="I331" s="494" t="s">
        <v>2214</v>
      </c>
      <c r="J331" s="495"/>
    </row>
    <row r="332" spans="1:10" s="251" customFormat="1" ht="12" customHeight="1" x14ac:dyDescent="0.15">
      <c r="A332" s="489" t="s">
        <v>1942</v>
      </c>
      <c r="B332" s="490">
        <v>42495</v>
      </c>
      <c r="C332" s="491" t="s">
        <v>1945</v>
      </c>
      <c r="D332" s="492">
        <v>3</v>
      </c>
      <c r="E332" s="491" t="s">
        <v>3500</v>
      </c>
      <c r="F332" s="493">
        <v>4.3981481481481481E-4</v>
      </c>
      <c r="G332" s="491"/>
      <c r="H332" s="491"/>
      <c r="I332" s="494" t="s">
        <v>3981</v>
      </c>
      <c r="J332" s="495"/>
    </row>
    <row r="333" spans="1:10" s="597" customFormat="1" ht="12" customHeight="1" x14ac:dyDescent="0.15">
      <c r="A333" s="590" t="s">
        <v>3099</v>
      </c>
      <c r="B333" s="591">
        <v>42497</v>
      </c>
      <c r="C333" s="592" t="s">
        <v>2293</v>
      </c>
      <c r="D333" s="593">
        <v>3</v>
      </c>
      <c r="E333" s="592" t="s">
        <v>3500</v>
      </c>
      <c r="F333" s="594">
        <v>4.3287037037037035E-4</v>
      </c>
      <c r="G333" s="592" t="s">
        <v>4366</v>
      </c>
      <c r="H333" s="592"/>
      <c r="I333" s="595" t="s">
        <v>4728</v>
      </c>
      <c r="J333" s="596"/>
    </row>
    <row r="334" spans="1:10" s="251" customFormat="1" ht="12" customHeight="1" x14ac:dyDescent="0.15">
      <c r="A334" s="489" t="s">
        <v>3333</v>
      </c>
      <c r="B334" s="490">
        <v>42497</v>
      </c>
      <c r="C334" s="491" t="s">
        <v>4683</v>
      </c>
      <c r="D334" s="492">
        <v>4</v>
      </c>
      <c r="E334" s="491" t="s">
        <v>3500</v>
      </c>
      <c r="F334" s="493">
        <v>5.6018518518518516E-4</v>
      </c>
      <c r="G334" s="491"/>
      <c r="H334" s="491"/>
      <c r="I334" s="494" t="s">
        <v>4729</v>
      </c>
      <c r="J334" s="495"/>
    </row>
    <row r="335" spans="1:10" s="251" customFormat="1" ht="12" customHeight="1" x14ac:dyDescent="0.15">
      <c r="A335" s="489" t="s">
        <v>42</v>
      </c>
      <c r="B335" s="490">
        <v>42497</v>
      </c>
      <c r="C335" s="491" t="s">
        <v>4619</v>
      </c>
      <c r="D335" s="492">
        <v>5</v>
      </c>
      <c r="E335" s="491" t="s">
        <v>3500</v>
      </c>
      <c r="F335" s="493">
        <v>7.407407407407407E-4</v>
      </c>
      <c r="G335" s="491"/>
      <c r="H335" s="491"/>
      <c r="I335" s="494" t="s">
        <v>4730</v>
      </c>
      <c r="J335" s="495"/>
    </row>
    <row r="336" spans="1:10" s="251" customFormat="1" ht="12" customHeight="1" x14ac:dyDescent="0.15">
      <c r="A336" s="489" t="s">
        <v>1831</v>
      </c>
      <c r="B336" s="490">
        <v>42497</v>
      </c>
      <c r="C336" s="491" t="s">
        <v>1950</v>
      </c>
      <c r="D336" s="492">
        <v>4</v>
      </c>
      <c r="E336" s="491" t="s">
        <v>3500</v>
      </c>
      <c r="F336" s="493">
        <v>5.6678240740740734E-4</v>
      </c>
      <c r="G336" s="491"/>
      <c r="H336" s="491"/>
      <c r="I336" s="494" t="s">
        <v>4724</v>
      </c>
      <c r="J336" s="495"/>
    </row>
    <row r="337" spans="1:10" s="251" customFormat="1" ht="12" customHeight="1" x14ac:dyDescent="0.15">
      <c r="A337" s="489" t="s">
        <v>33</v>
      </c>
      <c r="B337" s="490">
        <v>42496</v>
      </c>
      <c r="C337" s="491" t="s">
        <v>3212</v>
      </c>
      <c r="D337" s="492">
        <v>4</v>
      </c>
      <c r="E337" s="491" t="s">
        <v>3500</v>
      </c>
      <c r="F337" s="493">
        <v>5.8101851851851858E-4</v>
      </c>
      <c r="G337" s="491"/>
      <c r="H337" s="491"/>
      <c r="I337" s="494" t="s">
        <v>4638</v>
      </c>
      <c r="J337" s="495"/>
    </row>
    <row r="338" spans="1:10" s="251" customFormat="1" ht="12" customHeight="1" x14ac:dyDescent="0.15">
      <c r="A338" s="489" t="s">
        <v>21</v>
      </c>
      <c r="B338" s="490">
        <v>42496</v>
      </c>
      <c r="C338" s="491" t="s">
        <v>4619</v>
      </c>
      <c r="D338" s="492">
        <v>4</v>
      </c>
      <c r="E338" s="491" t="s">
        <v>3500</v>
      </c>
      <c r="F338" s="493">
        <v>5.6712962962962956E-4</v>
      </c>
      <c r="G338" s="491"/>
      <c r="H338" s="491"/>
      <c r="I338" s="494" t="s">
        <v>4731</v>
      </c>
      <c r="J338" s="495"/>
    </row>
    <row r="339" spans="1:10" s="251" customFormat="1" ht="12" customHeight="1" x14ac:dyDescent="0.15">
      <c r="A339" s="489" t="s">
        <v>3899</v>
      </c>
      <c r="B339" s="490">
        <v>42496</v>
      </c>
      <c r="C339" s="491" t="s">
        <v>1948</v>
      </c>
      <c r="D339" s="492">
        <v>4</v>
      </c>
      <c r="E339" s="491" t="s">
        <v>3500</v>
      </c>
      <c r="F339" s="493">
        <v>5.9224537037037036E-4</v>
      </c>
      <c r="G339" s="491"/>
      <c r="H339" s="491"/>
      <c r="I339" s="494" t="s">
        <v>4732</v>
      </c>
      <c r="J339" s="495"/>
    </row>
    <row r="340" spans="1:10" s="251" customFormat="1" ht="12" customHeight="1" x14ac:dyDescent="0.15">
      <c r="A340" s="489" t="s">
        <v>3645</v>
      </c>
      <c r="B340" s="490">
        <v>42495</v>
      </c>
      <c r="C340" s="491" t="s">
        <v>4605</v>
      </c>
      <c r="D340" s="492">
        <v>4</v>
      </c>
      <c r="E340" s="491" t="s">
        <v>3500</v>
      </c>
      <c r="F340" s="493">
        <v>3.6805555555555557E-2</v>
      </c>
      <c r="G340" s="491"/>
      <c r="H340" s="491"/>
      <c r="I340" s="503" t="s">
        <v>4550</v>
      </c>
      <c r="J340" s="495"/>
    </row>
    <row r="341" spans="1:10" s="251" customFormat="1" ht="12" customHeight="1" thickBot="1" x14ac:dyDescent="0.2">
      <c r="A341" s="489" t="s">
        <v>121</v>
      </c>
      <c r="B341" s="490">
        <v>42498</v>
      </c>
      <c r="C341" s="491" t="s">
        <v>4748</v>
      </c>
      <c r="D341" s="492">
        <v>6</v>
      </c>
      <c r="E341" s="491" t="s">
        <v>3500</v>
      </c>
      <c r="F341" s="493">
        <v>8.8194444444444442E-4</v>
      </c>
      <c r="G341" s="491"/>
      <c r="H341" s="491"/>
      <c r="I341" s="491" t="s">
        <v>2303</v>
      </c>
      <c r="J341" s="495"/>
    </row>
    <row r="342" spans="1:10" s="251" customFormat="1" ht="12" customHeight="1" x14ac:dyDescent="0.15">
      <c r="A342" s="540" t="s">
        <v>2478</v>
      </c>
      <c r="B342" s="253">
        <v>42500</v>
      </c>
      <c r="C342" s="254" t="s">
        <v>3200</v>
      </c>
      <c r="D342" s="255">
        <v>4</v>
      </c>
      <c r="E342" s="342" t="s">
        <v>3500</v>
      </c>
      <c r="F342" s="256">
        <v>5.8159722222222217E-4</v>
      </c>
      <c r="G342" s="254"/>
      <c r="H342" s="254"/>
      <c r="I342" s="257" t="s">
        <v>4781</v>
      </c>
      <c r="J342" s="258"/>
    </row>
    <row r="343" spans="1:10" s="251" customFormat="1" ht="12" customHeight="1" x14ac:dyDescent="0.15">
      <c r="A343" s="489" t="s">
        <v>2121</v>
      </c>
      <c r="B343" s="490">
        <v>42500</v>
      </c>
      <c r="C343" s="491" t="s">
        <v>1950</v>
      </c>
      <c r="D343" s="492">
        <v>5</v>
      </c>
      <c r="E343" s="491" t="s">
        <v>3500</v>
      </c>
      <c r="F343" s="493">
        <v>7.2581018518518513E-4</v>
      </c>
      <c r="G343" s="491"/>
      <c r="H343" s="491"/>
      <c r="I343" s="494" t="s">
        <v>4782</v>
      </c>
      <c r="J343" s="495"/>
    </row>
    <row r="344" spans="1:10" s="251" customFormat="1" ht="12" customHeight="1" x14ac:dyDescent="0.15">
      <c r="A344" s="489" t="s">
        <v>351</v>
      </c>
      <c r="B344" s="490">
        <v>42499</v>
      </c>
      <c r="C344" s="491" t="s">
        <v>4704</v>
      </c>
      <c r="D344" s="492">
        <v>5</v>
      </c>
      <c r="E344" s="491" t="s">
        <v>3501</v>
      </c>
      <c r="F344" s="493">
        <v>7.4537037037037031E-4</v>
      </c>
      <c r="G344" s="491"/>
      <c r="H344" s="491"/>
      <c r="I344" s="494" t="s">
        <v>3279</v>
      </c>
      <c r="J344" s="495"/>
    </row>
    <row r="345" spans="1:10" s="251" customFormat="1" ht="12" customHeight="1" x14ac:dyDescent="0.15">
      <c r="A345" s="489" t="s">
        <v>3176</v>
      </c>
      <c r="B345" s="490">
        <v>42497</v>
      </c>
      <c r="C345" s="491" t="s">
        <v>4283</v>
      </c>
      <c r="D345" s="492">
        <v>3</v>
      </c>
      <c r="E345" s="491" t="s">
        <v>3500</v>
      </c>
      <c r="F345" s="493">
        <v>4.4212962962962961E-4</v>
      </c>
      <c r="G345" s="491"/>
      <c r="H345" s="491" t="s">
        <v>1249</v>
      </c>
      <c r="I345" s="494" t="s">
        <v>4783</v>
      </c>
      <c r="J345" s="495" t="s">
        <v>2310</v>
      </c>
    </row>
    <row r="346" spans="1:10" s="252" customFormat="1" ht="12" customHeight="1" x14ac:dyDescent="0.15">
      <c r="A346" s="496" t="s">
        <v>1295</v>
      </c>
      <c r="B346" s="497">
        <v>42504</v>
      </c>
      <c r="C346" s="498" t="s">
        <v>2317</v>
      </c>
      <c r="D346" s="499">
        <v>5</v>
      </c>
      <c r="E346" s="498" t="s">
        <v>3500</v>
      </c>
      <c r="F346" s="500">
        <v>6.9675925925925938E-4</v>
      </c>
      <c r="G346" s="498"/>
      <c r="H346" s="498"/>
      <c r="I346" s="501" t="s">
        <v>4239</v>
      </c>
      <c r="J346" s="502" t="s">
        <v>4813</v>
      </c>
    </row>
    <row r="347" spans="1:10" s="252" customFormat="1" ht="12" customHeight="1" x14ac:dyDescent="0.15">
      <c r="A347" s="496" t="s">
        <v>1666</v>
      </c>
      <c r="B347" s="497">
        <v>42502</v>
      </c>
      <c r="C347" s="498" t="s">
        <v>1035</v>
      </c>
      <c r="D347" s="499">
        <v>6</v>
      </c>
      <c r="E347" s="498" t="s">
        <v>3500</v>
      </c>
      <c r="F347" s="500">
        <v>8.3333333333333339E-4</v>
      </c>
      <c r="G347" s="498"/>
      <c r="H347" s="498"/>
      <c r="I347" s="501" t="s">
        <v>2231</v>
      </c>
      <c r="J347" s="502" t="s">
        <v>4812</v>
      </c>
    </row>
    <row r="348" spans="1:10" s="618" customFormat="1" ht="12" customHeight="1" x14ac:dyDescent="0.15">
      <c r="A348" s="611" t="s">
        <v>3607</v>
      </c>
      <c r="B348" s="612">
        <v>42501</v>
      </c>
      <c r="C348" s="613" t="s">
        <v>1950</v>
      </c>
      <c r="D348" s="614">
        <v>3</v>
      </c>
      <c r="E348" s="613" t="s">
        <v>3500</v>
      </c>
      <c r="F348" s="615">
        <v>4.2256944444444438E-4</v>
      </c>
      <c r="G348" s="613"/>
      <c r="H348" s="613"/>
      <c r="I348" s="616" t="s">
        <v>3268</v>
      </c>
      <c r="J348" s="617" t="s">
        <v>4779</v>
      </c>
    </row>
    <row r="349" spans="1:10" s="251" customFormat="1" ht="12" customHeight="1" x14ac:dyDescent="0.15">
      <c r="A349" s="489" t="s">
        <v>2143</v>
      </c>
      <c r="B349" s="490">
        <v>42502</v>
      </c>
      <c r="C349" s="491" t="s">
        <v>2315</v>
      </c>
      <c r="D349" s="492">
        <v>3</v>
      </c>
      <c r="E349" s="491" t="s">
        <v>3500</v>
      </c>
      <c r="F349" s="493">
        <v>4.357638888888888E-4</v>
      </c>
      <c r="G349" s="491"/>
      <c r="H349" s="491"/>
      <c r="I349" s="494" t="s">
        <v>4787</v>
      </c>
      <c r="J349" s="495" t="s">
        <v>4788</v>
      </c>
    </row>
    <row r="350" spans="1:10" s="251" customFormat="1" ht="12" customHeight="1" x14ac:dyDescent="0.15">
      <c r="A350" s="489" t="s">
        <v>1897</v>
      </c>
      <c r="B350" s="490">
        <v>42501</v>
      </c>
      <c r="C350" s="491" t="s">
        <v>4778</v>
      </c>
      <c r="D350" s="492">
        <v>3</v>
      </c>
      <c r="E350" s="491" t="s">
        <v>3500</v>
      </c>
      <c r="F350" s="493">
        <v>4.4675925925925921E-4</v>
      </c>
      <c r="G350" s="491"/>
      <c r="H350" s="491"/>
      <c r="I350" s="494" t="s">
        <v>2436</v>
      </c>
      <c r="J350" s="495" t="s">
        <v>4780</v>
      </c>
    </row>
    <row r="351" spans="1:10" s="251" customFormat="1" ht="12" customHeight="1" x14ac:dyDescent="0.15">
      <c r="A351" s="489" t="s">
        <v>1667</v>
      </c>
      <c r="B351" s="490">
        <v>42503</v>
      </c>
      <c r="C351" s="491" t="s">
        <v>2006</v>
      </c>
      <c r="D351" s="492">
        <v>4</v>
      </c>
      <c r="E351" s="491" t="s">
        <v>3500</v>
      </c>
      <c r="F351" s="493">
        <v>6.4467592592592593E-4</v>
      </c>
      <c r="G351" s="491"/>
      <c r="H351" s="491"/>
      <c r="I351" s="494" t="s">
        <v>366</v>
      </c>
      <c r="J351" s="495" t="s">
        <v>4802</v>
      </c>
    </row>
    <row r="352" spans="1:10" s="251" customFormat="1" ht="12" customHeight="1" x14ac:dyDescent="0.15">
      <c r="A352" s="489" t="s">
        <v>4795</v>
      </c>
      <c r="B352" s="490">
        <v>42502</v>
      </c>
      <c r="C352" s="491" t="s">
        <v>4796</v>
      </c>
      <c r="D352" s="492">
        <v>4</v>
      </c>
      <c r="E352" s="491" t="s">
        <v>3500</v>
      </c>
      <c r="F352" s="493">
        <v>5.6481481481481476E-4</v>
      </c>
      <c r="G352" s="491"/>
      <c r="H352" s="491"/>
      <c r="I352" s="494" t="s">
        <v>3224</v>
      </c>
      <c r="J352" s="495" t="s">
        <v>2383</v>
      </c>
    </row>
    <row r="353" spans="1:10" s="251" customFormat="1" ht="12" customHeight="1" x14ac:dyDescent="0.15">
      <c r="A353" s="489" t="s">
        <v>2170</v>
      </c>
      <c r="B353" s="490">
        <v>42503</v>
      </c>
      <c r="C353" s="491" t="s">
        <v>4807</v>
      </c>
      <c r="D353" s="492">
        <v>5</v>
      </c>
      <c r="E353" s="491" t="s">
        <v>3500</v>
      </c>
      <c r="F353" s="493">
        <v>7.0833333333333338E-4</v>
      </c>
      <c r="G353" s="491"/>
      <c r="H353" s="491"/>
      <c r="I353" s="494" t="s">
        <v>4197</v>
      </c>
      <c r="J353" s="495" t="s">
        <v>4808</v>
      </c>
    </row>
    <row r="354" spans="1:10" s="251" customFormat="1" ht="12" customHeight="1" x14ac:dyDescent="0.15">
      <c r="A354" s="489" t="s">
        <v>2157</v>
      </c>
      <c r="B354" s="490">
        <v>42503</v>
      </c>
      <c r="C354" s="491" t="s">
        <v>4778</v>
      </c>
      <c r="D354" s="492">
        <v>4</v>
      </c>
      <c r="E354" s="491" t="s">
        <v>3500</v>
      </c>
      <c r="F354" s="493">
        <v>5.8796296296296287E-4</v>
      </c>
      <c r="G354" s="491"/>
      <c r="H354" s="491"/>
      <c r="I354" s="494" t="s">
        <v>4809</v>
      </c>
      <c r="J354" s="495" t="s">
        <v>4810</v>
      </c>
    </row>
    <row r="355" spans="1:10" s="251" customFormat="1" ht="12" customHeight="1" x14ac:dyDescent="0.15">
      <c r="A355" s="489" t="s">
        <v>3840</v>
      </c>
      <c r="B355" s="490">
        <v>42505</v>
      </c>
      <c r="C355" s="491" t="s">
        <v>4815</v>
      </c>
      <c r="D355" s="492">
        <v>5</v>
      </c>
      <c r="E355" s="491" t="s">
        <v>3500</v>
      </c>
      <c r="F355" s="493">
        <v>5.6712962962962956E-4</v>
      </c>
      <c r="G355" s="491"/>
      <c r="H355" s="491"/>
      <c r="I355" s="494" t="s">
        <v>4816</v>
      </c>
      <c r="J355" s="495" t="s">
        <v>4817</v>
      </c>
    </row>
    <row r="356" spans="1:10" s="251" customFormat="1" ht="12" customHeight="1" x14ac:dyDescent="0.15">
      <c r="A356" s="489" t="s">
        <v>4237</v>
      </c>
      <c r="B356" s="490">
        <v>42501</v>
      </c>
      <c r="C356" s="491" t="s">
        <v>1950</v>
      </c>
      <c r="D356" s="492">
        <v>4</v>
      </c>
      <c r="E356" s="491" t="s">
        <v>3500</v>
      </c>
      <c r="F356" s="493">
        <v>5.6724537037037041E-4</v>
      </c>
      <c r="G356" s="491"/>
      <c r="H356" s="491"/>
      <c r="I356" s="494" t="s">
        <v>4410</v>
      </c>
      <c r="J356" s="495"/>
    </row>
    <row r="357" spans="1:10" s="251" customFormat="1" ht="12" customHeight="1" x14ac:dyDescent="0.15">
      <c r="A357" s="489" t="s">
        <v>3339</v>
      </c>
      <c r="B357" s="490">
        <v>42501</v>
      </c>
      <c r="C357" s="491" t="s">
        <v>1950</v>
      </c>
      <c r="D357" s="492">
        <v>4</v>
      </c>
      <c r="E357" s="491" t="s">
        <v>3500</v>
      </c>
      <c r="F357" s="493">
        <v>5.6724537037037041E-4</v>
      </c>
      <c r="G357" s="491"/>
      <c r="H357" s="491"/>
      <c r="I357" s="494" t="s">
        <v>4410</v>
      </c>
      <c r="J357" s="495"/>
    </row>
    <row r="358" spans="1:10" s="251" customFormat="1" ht="12" customHeight="1" x14ac:dyDescent="0.15">
      <c r="A358" s="489" t="s">
        <v>3645</v>
      </c>
      <c r="B358" s="490">
        <v>42501</v>
      </c>
      <c r="C358" s="491" t="s">
        <v>4605</v>
      </c>
      <c r="D358" s="492">
        <v>4</v>
      </c>
      <c r="E358" s="491" t="s">
        <v>3500</v>
      </c>
      <c r="F358" s="493">
        <v>6.087962962962963E-4</v>
      </c>
      <c r="G358" s="491"/>
      <c r="H358" s="491"/>
      <c r="I358" s="494" t="s">
        <v>4786</v>
      </c>
      <c r="J358" s="495"/>
    </row>
    <row r="359" spans="1:10" s="251" customFormat="1" ht="12" customHeight="1" x14ac:dyDescent="0.15">
      <c r="A359" s="489" t="s">
        <v>3203</v>
      </c>
      <c r="B359" s="490">
        <v>42502</v>
      </c>
      <c r="C359" s="491" t="s">
        <v>4460</v>
      </c>
      <c r="D359" s="492">
        <v>5</v>
      </c>
      <c r="E359" s="491" t="s">
        <v>3500</v>
      </c>
      <c r="F359" s="493">
        <v>7.0833333333333338E-4</v>
      </c>
      <c r="G359" s="491"/>
      <c r="H359" s="491"/>
      <c r="I359" s="494" t="s">
        <v>4489</v>
      </c>
      <c r="J359" s="495"/>
    </row>
    <row r="360" spans="1:10" s="251" customFormat="1" ht="12" customHeight="1" x14ac:dyDescent="0.15">
      <c r="A360" s="489" t="s">
        <v>2355</v>
      </c>
      <c r="B360" s="490">
        <v>42502</v>
      </c>
      <c r="C360" s="491" t="s">
        <v>1947</v>
      </c>
      <c r="D360" s="492">
        <v>4</v>
      </c>
      <c r="E360" s="491" t="s">
        <v>3500</v>
      </c>
      <c r="F360" s="493">
        <v>5.6956018518518521E-4</v>
      </c>
      <c r="G360" s="491"/>
      <c r="H360" s="491"/>
      <c r="I360" s="494" t="s">
        <v>4168</v>
      </c>
      <c r="J360" s="495"/>
    </row>
    <row r="361" spans="1:10" s="251" customFormat="1" ht="12" customHeight="1" x14ac:dyDescent="0.15">
      <c r="A361" s="489" t="s">
        <v>1557</v>
      </c>
      <c r="B361" s="490">
        <v>42504</v>
      </c>
      <c r="C361" s="491" t="s">
        <v>4721</v>
      </c>
      <c r="D361" s="492">
        <v>4</v>
      </c>
      <c r="E361" s="491" t="s">
        <v>3500</v>
      </c>
      <c r="F361" s="493">
        <v>5.5717592592592592E-4</v>
      </c>
      <c r="G361" s="491"/>
      <c r="H361" s="491"/>
      <c r="I361" s="494" t="s">
        <v>4804</v>
      </c>
      <c r="J361" s="495"/>
    </row>
    <row r="362" spans="1:10" s="251" customFormat="1" ht="12" customHeight="1" x14ac:dyDescent="0.15">
      <c r="A362" s="489" t="s">
        <v>3099</v>
      </c>
      <c r="B362" s="490">
        <v>42504</v>
      </c>
      <c r="C362" s="491" t="s">
        <v>2293</v>
      </c>
      <c r="D362" s="492">
        <v>3</v>
      </c>
      <c r="E362" s="491" t="s">
        <v>3500</v>
      </c>
      <c r="F362" s="493">
        <v>4.3055555555555555E-4</v>
      </c>
      <c r="G362" s="491" t="s">
        <v>961</v>
      </c>
      <c r="H362" s="491"/>
      <c r="I362" s="494" t="s">
        <v>4805</v>
      </c>
      <c r="J362" s="495"/>
    </row>
    <row r="363" spans="1:10" s="251" customFormat="1" ht="12" customHeight="1" x14ac:dyDescent="0.15">
      <c r="A363" s="489" t="s">
        <v>1943</v>
      </c>
      <c r="B363" s="490">
        <v>42503</v>
      </c>
      <c r="C363" s="491" t="s">
        <v>4715</v>
      </c>
      <c r="D363" s="492">
        <v>4</v>
      </c>
      <c r="E363" s="491" t="s">
        <v>3500</v>
      </c>
      <c r="F363" s="493">
        <v>5.6944444444444447E-4</v>
      </c>
      <c r="G363" s="491"/>
      <c r="H363" s="491"/>
      <c r="I363" s="494" t="s">
        <v>4806</v>
      </c>
      <c r="J363" s="495"/>
    </row>
    <row r="364" spans="1:10" s="251" customFormat="1" ht="12" customHeight="1" x14ac:dyDescent="0.15">
      <c r="A364" s="489" t="s">
        <v>1965</v>
      </c>
      <c r="B364" s="490">
        <v>42503</v>
      </c>
      <c r="C364" s="491" t="s">
        <v>4639</v>
      </c>
      <c r="D364" s="492">
        <v>4</v>
      </c>
      <c r="E364" s="491" t="s">
        <v>3500</v>
      </c>
      <c r="F364" s="493">
        <v>6.2037037037037041E-4</v>
      </c>
      <c r="G364" s="491" t="s">
        <v>961</v>
      </c>
      <c r="H364" s="491"/>
      <c r="I364" s="494" t="s">
        <v>3185</v>
      </c>
      <c r="J364" s="495"/>
    </row>
    <row r="365" spans="1:10" s="251" customFormat="1" ht="12" customHeight="1" thickBot="1" x14ac:dyDescent="0.2">
      <c r="A365" s="489" t="s">
        <v>2365</v>
      </c>
      <c r="B365" s="490">
        <v>42504</v>
      </c>
      <c r="C365" s="491" t="s">
        <v>4417</v>
      </c>
      <c r="D365" s="492">
        <v>5</v>
      </c>
      <c r="E365" s="491" t="s">
        <v>3501</v>
      </c>
      <c r="F365" s="493">
        <v>7.1990740740740739E-4</v>
      </c>
      <c r="G365" s="491"/>
      <c r="H365" s="491"/>
      <c r="I365" s="491" t="s">
        <v>2232</v>
      </c>
      <c r="J365" s="495"/>
    </row>
    <row r="366" spans="1:10" s="251" customFormat="1" ht="12" customHeight="1" x14ac:dyDescent="0.15">
      <c r="A366" s="540" t="s">
        <v>3154</v>
      </c>
      <c r="B366" s="253">
        <v>42506</v>
      </c>
      <c r="C366" s="254" t="s">
        <v>1950</v>
      </c>
      <c r="D366" s="255">
        <v>4</v>
      </c>
      <c r="E366" s="342" t="s">
        <v>3500</v>
      </c>
      <c r="F366" s="256">
        <v>5.6828703703703707E-4</v>
      </c>
      <c r="G366" s="254"/>
      <c r="H366" s="254"/>
      <c r="I366" s="257" t="s">
        <v>4822</v>
      </c>
      <c r="J366" s="258"/>
    </row>
    <row r="367" spans="1:10" s="251" customFormat="1" ht="12" customHeight="1" x14ac:dyDescent="0.15">
      <c r="A367" s="489" t="s">
        <v>1897</v>
      </c>
      <c r="B367" s="490">
        <v>42506</v>
      </c>
      <c r="C367" s="491" t="s">
        <v>4778</v>
      </c>
      <c r="D367" s="492">
        <v>4</v>
      </c>
      <c r="E367" s="491" t="s">
        <v>3500</v>
      </c>
      <c r="F367" s="493">
        <v>5.6944444444444447E-4</v>
      </c>
      <c r="G367" s="491"/>
      <c r="H367" s="491"/>
      <c r="I367" s="494" t="s">
        <v>4823</v>
      </c>
      <c r="J367" s="495"/>
    </row>
    <row r="368" spans="1:10" s="251" customFormat="1" ht="12" customHeight="1" x14ac:dyDescent="0.15">
      <c r="A368" s="489" t="s">
        <v>2177</v>
      </c>
      <c r="B368" s="490">
        <v>42510</v>
      </c>
      <c r="C368" s="491" t="s">
        <v>3286</v>
      </c>
      <c r="D368" s="492">
        <v>3</v>
      </c>
      <c r="E368" s="491" t="s">
        <v>3500</v>
      </c>
      <c r="F368" s="493">
        <v>5.6250000000000007E-4</v>
      </c>
      <c r="G368" s="491"/>
      <c r="H368" s="491"/>
      <c r="I368" s="494" t="s">
        <v>4865</v>
      </c>
      <c r="J368" s="495"/>
    </row>
    <row r="369" spans="1:10" s="251" customFormat="1" ht="12" customHeight="1" x14ac:dyDescent="0.15">
      <c r="A369" s="489" t="s">
        <v>3158</v>
      </c>
      <c r="B369" s="490">
        <v>42511</v>
      </c>
      <c r="C369" s="491" t="s">
        <v>1950</v>
      </c>
      <c r="D369" s="492">
        <v>4</v>
      </c>
      <c r="E369" s="491" t="s">
        <v>3500</v>
      </c>
      <c r="F369" s="493">
        <v>5.5625E-4</v>
      </c>
      <c r="G369" s="491"/>
      <c r="H369" s="491" t="s">
        <v>1249</v>
      </c>
      <c r="I369" s="494" t="s">
        <v>4875</v>
      </c>
      <c r="J369" s="495" t="s">
        <v>2310</v>
      </c>
    </row>
    <row r="370" spans="1:10" s="251" customFormat="1" ht="12" customHeight="1" x14ac:dyDescent="0.15">
      <c r="A370" s="489" t="s">
        <v>3333</v>
      </c>
      <c r="B370" s="490">
        <v>42508</v>
      </c>
      <c r="C370" s="491" t="s">
        <v>4460</v>
      </c>
      <c r="D370" s="492">
        <v>5</v>
      </c>
      <c r="E370" s="491" t="s">
        <v>3500</v>
      </c>
      <c r="F370" s="493">
        <v>7.0833333333333338E-4</v>
      </c>
      <c r="G370" s="491"/>
      <c r="H370" s="491" t="s">
        <v>1249</v>
      </c>
      <c r="I370" s="494" t="s">
        <v>4831</v>
      </c>
      <c r="J370" s="495" t="s">
        <v>3322</v>
      </c>
    </row>
    <row r="371" spans="1:10" s="251" customFormat="1" ht="12" customHeight="1" x14ac:dyDescent="0.15">
      <c r="A371" s="489" t="s">
        <v>4832</v>
      </c>
      <c r="B371" s="490">
        <v>42508</v>
      </c>
      <c r="C371" s="491" t="s">
        <v>4807</v>
      </c>
      <c r="D371" s="492">
        <v>4</v>
      </c>
      <c r="E371" s="491" t="s">
        <v>3500</v>
      </c>
      <c r="F371" s="493">
        <v>5.5092592592592595E-4</v>
      </c>
      <c r="G371" s="491"/>
      <c r="H371" s="491"/>
      <c r="I371" s="494" t="s">
        <v>4833</v>
      </c>
      <c r="J371" s="495" t="s">
        <v>4834</v>
      </c>
    </row>
    <row r="372" spans="1:10" s="251" customFormat="1" ht="12" customHeight="1" x14ac:dyDescent="0.15">
      <c r="A372" s="489" t="s">
        <v>4863</v>
      </c>
      <c r="B372" s="490">
        <v>42511</v>
      </c>
      <c r="C372" s="491" t="s">
        <v>797</v>
      </c>
      <c r="D372" s="492">
        <v>3</v>
      </c>
      <c r="E372" s="491" t="s">
        <v>3501</v>
      </c>
      <c r="F372" s="493">
        <v>4.1712962962962965E-4</v>
      </c>
      <c r="G372" s="491"/>
      <c r="H372" s="491"/>
      <c r="I372" s="494" t="s">
        <v>4144</v>
      </c>
      <c r="J372" s="495" t="s">
        <v>4864</v>
      </c>
    </row>
    <row r="373" spans="1:10" s="252" customFormat="1" ht="12" customHeight="1" x14ac:dyDescent="0.15">
      <c r="A373" s="496" t="s">
        <v>2227</v>
      </c>
      <c r="B373" s="497">
        <v>42507</v>
      </c>
      <c r="C373" s="498" t="s">
        <v>1950</v>
      </c>
      <c r="D373" s="499">
        <v>3</v>
      </c>
      <c r="E373" s="498" t="s">
        <v>3500</v>
      </c>
      <c r="F373" s="500">
        <v>4.1678240740740738E-4</v>
      </c>
      <c r="G373" s="498"/>
      <c r="H373" s="498"/>
      <c r="I373" s="501" t="s">
        <v>4835</v>
      </c>
      <c r="J373" s="502"/>
    </row>
    <row r="374" spans="1:10" s="252" customFormat="1" ht="12" customHeight="1" x14ac:dyDescent="0.15">
      <c r="A374" s="496" t="s">
        <v>1381</v>
      </c>
      <c r="B374" s="497">
        <v>42507</v>
      </c>
      <c r="C374" s="498" t="s">
        <v>4464</v>
      </c>
      <c r="D374" s="499">
        <v>3</v>
      </c>
      <c r="E374" s="498" t="s">
        <v>3500</v>
      </c>
      <c r="F374" s="500">
        <v>4.4212962962962961E-4</v>
      </c>
      <c r="G374" s="498"/>
      <c r="H374" s="498"/>
      <c r="I374" s="501" t="s">
        <v>3977</v>
      </c>
      <c r="J374" s="502"/>
    </row>
    <row r="375" spans="1:10" s="252" customFormat="1" ht="12" customHeight="1" x14ac:dyDescent="0.15">
      <c r="A375" s="496" t="s">
        <v>1539</v>
      </c>
      <c r="B375" s="497">
        <v>42508</v>
      </c>
      <c r="C375" s="498" t="s">
        <v>4778</v>
      </c>
      <c r="D375" s="499">
        <v>3</v>
      </c>
      <c r="E375" s="498" t="s">
        <v>3500</v>
      </c>
      <c r="F375" s="500">
        <v>4.1435185185185178E-4</v>
      </c>
      <c r="G375" s="498"/>
      <c r="H375" s="498"/>
      <c r="I375" s="501" t="s">
        <v>3268</v>
      </c>
      <c r="J375" s="502"/>
    </row>
    <row r="376" spans="1:10" s="252" customFormat="1" ht="12" customHeight="1" x14ac:dyDescent="0.15">
      <c r="A376" s="496" t="s">
        <v>2127</v>
      </c>
      <c r="B376" s="497">
        <v>42509</v>
      </c>
      <c r="C376" s="498" t="s">
        <v>3193</v>
      </c>
      <c r="D376" s="499">
        <v>3</v>
      </c>
      <c r="E376" s="498" t="s">
        <v>3500</v>
      </c>
      <c r="F376" s="500">
        <v>4.1203703703703709E-4</v>
      </c>
      <c r="G376" s="498"/>
      <c r="H376" s="498"/>
      <c r="I376" s="501" t="s">
        <v>4555</v>
      </c>
      <c r="J376" s="502"/>
    </row>
    <row r="377" spans="1:10" s="252" customFormat="1" ht="12" customHeight="1" x14ac:dyDescent="0.15">
      <c r="A377" s="496" t="s">
        <v>2166</v>
      </c>
      <c r="B377" s="497">
        <v>42510</v>
      </c>
      <c r="C377" s="498" t="s">
        <v>2315</v>
      </c>
      <c r="D377" s="499">
        <v>5</v>
      </c>
      <c r="E377" s="498" t="s">
        <v>3501</v>
      </c>
      <c r="F377" s="500">
        <v>7.0509259259259266E-4</v>
      </c>
      <c r="G377" s="498"/>
      <c r="H377" s="498"/>
      <c r="I377" s="501" t="s">
        <v>4866</v>
      </c>
      <c r="J377" s="502"/>
    </row>
    <row r="378" spans="1:10" s="251" customFormat="1" ht="12" customHeight="1" x14ac:dyDescent="0.15">
      <c r="A378" s="489" t="s">
        <v>3181</v>
      </c>
      <c r="B378" s="490">
        <v>42507</v>
      </c>
      <c r="C378" s="491" t="s">
        <v>2293</v>
      </c>
      <c r="D378" s="492">
        <v>4</v>
      </c>
      <c r="E378" s="491" t="s">
        <v>3500</v>
      </c>
      <c r="F378" s="493">
        <v>5.7407407407407407E-4</v>
      </c>
      <c r="G378" s="491"/>
      <c r="H378" s="491"/>
      <c r="I378" s="494" t="s">
        <v>4836</v>
      </c>
      <c r="J378" s="495"/>
    </row>
    <row r="379" spans="1:10" s="251" customFormat="1" ht="12" customHeight="1" x14ac:dyDescent="0.15">
      <c r="A379" s="489" t="s">
        <v>3178</v>
      </c>
      <c r="B379" s="490">
        <v>42507</v>
      </c>
      <c r="C379" s="491" t="s">
        <v>1950</v>
      </c>
      <c r="D379" s="492">
        <v>4</v>
      </c>
      <c r="E379" s="491" t="s">
        <v>3500</v>
      </c>
      <c r="F379" s="493">
        <v>5.6956018518518521E-4</v>
      </c>
      <c r="G379" s="491"/>
      <c r="H379" s="491"/>
      <c r="I379" s="494" t="s">
        <v>3900</v>
      </c>
      <c r="J379" s="495"/>
    </row>
    <row r="380" spans="1:10" s="251" customFormat="1" ht="12" customHeight="1" x14ac:dyDescent="0.15">
      <c r="A380" s="489" t="s">
        <v>121</v>
      </c>
      <c r="B380" s="490">
        <v>42507</v>
      </c>
      <c r="C380" s="491" t="s">
        <v>4748</v>
      </c>
      <c r="D380" s="492">
        <v>6</v>
      </c>
      <c r="E380" s="491" t="s">
        <v>3500</v>
      </c>
      <c r="F380" s="493">
        <v>8.7500000000000002E-4</v>
      </c>
      <c r="G380" s="491"/>
      <c r="H380" s="491"/>
      <c r="I380" s="494" t="s">
        <v>2232</v>
      </c>
      <c r="J380" s="495"/>
    </row>
    <row r="381" spans="1:10" s="251" customFormat="1" ht="12" customHeight="1" x14ac:dyDescent="0.15">
      <c r="A381" s="489" t="s">
        <v>2478</v>
      </c>
      <c r="B381" s="490">
        <v>42506</v>
      </c>
      <c r="C381" s="491" t="s">
        <v>3200</v>
      </c>
      <c r="D381" s="492">
        <v>4</v>
      </c>
      <c r="E381" s="491" t="s">
        <v>3500</v>
      </c>
      <c r="F381" s="493">
        <v>5.7002314814814817E-4</v>
      </c>
      <c r="G381" s="491"/>
      <c r="H381" s="491"/>
      <c r="I381" s="494" t="s">
        <v>4837</v>
      </c>
      <c r="J381" s="495"/>
    </row>
    <row r="382" spans="1:10" s="251" customFormat="1" ht="12" customHeight="1" x14ac:dyDescent="0.15">
      <c r="A382" s="489" t="s">
        <v>1965</v>
      </c>
      <c r="B382" s="490">
        <v>42509</v>
      </c>
      <c r="C382" s="491" t="s">
        <v>4639</v>
      </c>
      <c r="D382" s="492">
        <v>4</v>
      </c>
      <c r="E382" s="491" t="s">
        <v>3500</v>
      </c>
      <c r="F382" s="493">
        <v>5.8796296296296287E-4</v>
      </c>
      <c r="G382" s="491"/>
      <c r="H382" s="491"/>
      <c r="I382" s="494" t="s">
        <v>4848</v>
      </c>
      <c r="J382" s="495"/>
    </row>
    <row r="383" spans="1:10" s="251" customFormat="1" ht="12" customHeight="1" x14ac:dyDescent="0.15">
      <c r="A383" s="489" t="s">
        <v>3182</v>
      </c>
      <c r="B383" s="490">
        <v>42510</v>
      </c>
      <c r="C383" s="491" t="s">
        <v>1950</v>
      </c>
      <c r="D383" s="492">
        <v>4</v>
      </c>
      <c r="E383" s="491" t="s">
        <v>3500</v>
      </c>
      <c r="F383" s="493">
        <v>6.0405092592592596E-4</v>
      </c>
      <c r="G383" s="491"/>
      <c r="H383" s="491"/>
      <c r="I383" s="494" t="s">
        <v>4849</v>
      </c>
      <c r="J383" s="495"/>
    </row>
    <row r="384" spans="1:10" s="597" customFormat="1" ht="12" customHeight="1" x14ac:dyDescent="0.15">
      <c r="A384" s="590" t="s">
        <v>3099</v>
      </c>
      <c r="B384" s="591">
        <v>42510</v>
      </c>
      <c r="C384" s="592" t="s">
        <v>2293</v>
      </c>
      <c r="D384" s="593">
        <v>3</v>
      </c>
      <c r="E384" s="592" t="s">
        <v>3500</v>
      </c>
      <c r="F384" s="594">
        <v>4.259259259259259E-4</v>
      </c>
      <c r="G384" s="592"/>
      <c r="H384" s="592"/>
      <c r="I384" s="595" t="s">
        <v>4558</v>
      </c>
      <c r="J384" s="596"/>
    </row>
    <row r="385" spans="1:10" s="251" customFormat="1" ht="12" customHeight="1" x14ac:dyDescent="0.15">
      <c r="A385" s="489" t="s">
        <v>1816</v>
      </c>
      <c r="B385" s="490">
        <v>42510</v>
      </c>
      <c r="C385" s="491" t="s">
        <v>1950</v>
      </c>
      <c r="D385" s="492">
        <v>6</v>
      </c>
      <c r="E385" s="491" t="s">
        <v>3500</v>
      </c>
      <c r="F385" s="493">
        <v>8.5439814814814807E-4</v>
      </c>
      <c r="G385" s="491"/>
      <c r="H385" s="491"/>
      <c r="I385" s="494" t="s">
        <v>2232</v>
      </c>
      <c r="J385" s="495"/>
    </row>
    <row r="386" spans="1:10" s="251" customFormat="1" ht="12" customHeight="1" x14ac:dyDescent="0.15">
      <c r="A386" s="489" t="s">
        <v>2143</v>
      </c>
      <c r="B386" s="490">
        <v>42510</v>
      </c>
      <c r="C386" s="491" t="s">
        <v>2315</v>
      </c>
      <c r="D386" s="492">
        <v>3</v>
      </c>
      <c r="E386" s="491" t="s">
        <v>3500</v>
      </c>
      <c r="F386" s="493">
        <v>4.3333333333333331E-4</v>
      </c>
      <c r="G386" s="491"/>
      <c r="H386" s="491"/>
      <c r="I386" s="494" t="s">
        <v>4867</v>
      </c>
      <c r="J386" s="495"/>
    </row>
    <row r="387" spans="1:10" s="251" customFormat="1" ht="12" customHeight="1" x14ac:dyDescent="0.15">
      <c r="A387" s="489" t="s">
        <v>36</v>
      </c>
      <c r="B387" s="490">
        <v>42511</v>
      </c>
      <c r="C387" s="491" t="s">
        <v>4868</v>
      </c>
      <c r="D387" s="492">
        <v>4</v>
      </c>
      <c r="E387" s="491" t="s">
        <v>3500</v>
      </c>
      <c r="F387" s="493">
        <v>5.7407407407407407E-4</v>
      </c>
      <c r="G387" s="491"/>
      <c r="H387" s="491"/>
      <c r="I387" s="494" t="s">
        <v>4869</v>
      </c>
      <c r="J387" s="495"/>
    </row>
    <row r="388" spans="1:10" s="251" customFormat="1" ht="12" customHeight="1" x14ac:dyDescent="0.15">
      <c r="A388" s="489" t="s">
        <v>1897</v>
      </c>
      <c r="B388" s="490">
        <v>42511</v>
      </c>
      <c r="C388" s="491" t="s">
        <v>4778</v>
      </c>
      <c r="D388" s="492">
        <v>4</v>
      </c>
      <c r="E388" s="491" t="s">
        <v>3500</v>
      </c>
      <c r="F388" s="493">
        <v>5.9027777777777778E-4</v>
      </c>
      <c r="G388" s="491"/>
      <c r="H388" s="491"/>
      <c r="I388" s="494" t="s">
        <v>4874</v>
      </c>
      <c r="J388" s="495"/>
    </row>
    <row r="389" spans="1:10" s="251" customFormat="1" ht="12" customHeight="1" x14ac:dyDescent="0.15">
      <c r="A389" s="489" t="s">
        <v>3339</v>
      </c>
      <c r="B389" s="490">
        <v>42511</v>
      </c>
      <c r="C389" s="491" t="s">
        <v>1950</v>
      </c>
      <c r="D389" s="492">
        <v>4</v>
      </c>
      <c r="E389" s="491" t="s">
        <v>3500</v>
      </c>
      <c r="F389" s="493">
        <v>5.8750000000000002E-4</v>
      </c>
      <c r="G389" s="491"/>
      <c r="H389" s="491"/>
      <c r="I389" s="494" t="s">
        <v>4876</v>
      </c>
      <c r="J389" s="495"/>
    </row>
    <row r="390" spans="1:10" s="251" customFormat="1" ht="12" customHeight="1" x14ac:dyDescent="0.15">
      <c r="A390" s="489" t="s">
        <v>1667</v>
      </c>
      <c r="B390" s="490">
        <v>42510</v>
      </c>
      <c r="C390" s="491" t="s">
        <v>2006</v>
      </c>
      <c r="D390" s="492">
        <v>4</v>
      </c>
      <c r="E390" s="491" t="s">
        <v>3502</v>
      </c>
      <c r="F390" s="493">
        <v>6.2037037037037041E-4</v>
      </c>
      <c r="G390" s="491"/>
      <c r="H390" s="491"/>
      <c r="I390" s="494" t="s">
        <v>366</v>
      </c>
      <c r="J390" s="495" t="s">
        <v>4877</v>
      </c>
    </row>
    <row r="391" spans="1:10" s="251" customFormat="1" ht="12" customHeight="1" x14ac:dyDescent="0.15">
      <c r="A391" s="489" t="s">
        <v>3645</v>
      </c>
      <c r="B391" s="490">
        <v>42511</v>
      </c>
      <c r="C391" s="491" t="s">
        <v>4882</v>
      </c>
      <c r="D391" s="492">
        <v>3</v>
      </c>
      <c r="E391" s="491" t="s">
        <v>3500</v>
      </c>
      <c r="F391" s="493">
        <v>4.3252314814814808E-4</v>
      </c>
      <c r="G391" s="491"/>
      <c r="H391" s="491"/>
      <c r="I391" s="494" t="s">
        <v>4627</v>
      </c>
      <c r="J391" s="495"/>
    </row>
    <row r="392" spans="1:10" s="251" customFormat="1" ht="12" customHeight="1" x14ac:dyDescent="0.15">
      <c r="A392" s="489" t="s">
        <v>2478</v>
      </c>
      <c r="B392" s="490">
        <v>42511</v>
      </c>
      <c r="C392" s="491" t="s">
        <v>3200</v>
      </c>
      <c r="D392" s="492">
        <v>4</v>
      </c>
      <c r="E392" s="491" t="s">
        <v>3500</v>
      </c>
      <c r="F392" s="493">
        <v>5.7893518518518515E-4</v>
      </c>
      <c r="G392" s="491" t="s">
        <v>4880</v>
      </c>
      <c r="H392" s="491"/>
      <c r="I392" s="494" t="s">
        <v>4881</v>
      </c>
      <c r="J392" s="495"/>
    </row>
    <row r="393" spans="1:10" s="251" customFormat="1" ht="12" customHeight="1" thickBot="1" x14ac:dyDescent="0.2">
      <c r="A393" s="489" t="s">
        <v>4621</v>
      </c>
      <c r="B393" s="490">
        <v>42511</v>
      </c>
      <c r="C393" s="491" t="s">
        <v>4255</v>
      </c>
      <c r="D393" s="492">
        <v>5</v>
      </c>
      <c r="E393" s="491" t="s">
        <v>3500</v>
      </c>
      <c r="F393" s="493">
        <v>7.175925925925927E-4</v>
      </c>
      <c r="G393" s="491"/>
      <c r="H393" s="491"/>
      <c r="I393" s="491" t="s">
        <v>964</v>
      </c>
      <c r="J393" s="495"/>
    </row>
    <row r="394" spans="1:10" s="251" customFormat="1" ht="12" customHeight="1" x14ac:dyDescent="0.15">
      <c r="A394" s="540" t="s">
        <v>3333</v>
      </c>
      <c r="B394" s="253">
        <v>42515</v>
      </c>
      <c r="C394" s="254" t="s">
        <v>4892</v>
      </c>
      <c r="D394" s="255">
        <v>4</v>
      </c>
      <c r="E394" s="342" t="s">
        <v>3500</v>
      </c>
      <c r="F394" s="256">
        <v>5.6481481481481476E-4</v>
      </c>
      <c r="G394" s="254"/>
      <c r="H394" s="254"/>
      <c r="I394" s="257" t="s">
        <v>4893</v>
      </c>
      <c r="J394" s="258" t="s">
        <v>4894</v>
      </c>
    </row>
    <row r="395" spans="1:10" s="251" customFormat="1" ht="12" customHeight="1" x14ac:dyDescent="0.15">
      <c r="A395" s="489" t="s">
        <v>3339</v>
      </c>
      <c r="B395" s="490">
        <v>42518</v>
      </c>
      <c r="C395" s="491" t="s">
        <v>1950</v>
      </c>
      <c r="D395" s="492">
        <v>8</v>
      </c>
      <c r="E395" s="491" t="s">
        <v>3500</v>
      </c>
      <c r="F395" s="493">
        <v>1.2131944444444445E-3</v>
      </c>
      <c r="G395" s="491"/>
      <c r="H395" s="491"/>
      <c r="I395" s="494" t="s">
        <v>964</v>
      </c>
      <c r="J395" s="495" t="s">
        <v>4930</v>
      </c>
    </row>
    <row r="396" spans="1:10" s="251" customFormat="1" ht="12" customHeight="1" x14ac:dyDescent="0.15">
      <c r="A396" s="567" t="s">
        <v>3182</v>
      </c>
      <c r="B396" s="568">
        <v>42519</v>
      </c>
      <c r="C396" s="569" t="s">
        <v>1950</v>
      </c>
      <c r="D396" s="570">
        <v>8</v>
      </c>
      <c r="E396" s="569" t="s">
        <v>3500</v>
      </c>
      <c r="F396" s="571">
        <v>1.2443287037037039E-3</v>
      </c>
      <c r="G396" s="569"/>
      <c r="H396" s="569"/>
      <c r="I396" s="572" t="s">
        <v>2232</v>
      </c>
      <c r="J396" s="573" t="s">
        <v>4939</v>
      </c>
    </row>
    <row r="397" spans="1:10" s="251" customFormat="1" ht="12" customHeight="1" x14ac:dyDescent="0.15">
      <c r="A397" s="567" t="s">
        <v>3175</v>
      </c>
      <c r="B397" s="568">
        <v>42519</v>
      </c>
      <c r="C397" s="569" t="s">
        <v>1950</v>
      </c>
      <c r="D397" s="570">
        <v>4</v>
      </c>
      <c r="E397" s="569" t="s">
        <v>3500</v>
      </c>
      <c r="F397" s="571">
        <v>5.597222222222222E-4</v>
      </c>
      <c r="G397" s="569"/>
      <c r="H397" s="569" t="s">
        <v>1249</v>
      </c>
      <c r="I397" s="572" t="s">
        <v>4937</v>
      </c>
      <c r="J397" s="573" t="s">
        <v>2310</v>
      </c>
    </row>
    <row r="398" spans="1:10" s="251" customFormat="1" ht="12" customHeight="1" x14ac:dyDescent="0.15">
      <c r="A398" s="567" t="s">
        <v>1816</v>
      </c>
      <c r="B398" s="568">
        <v>42518</v>
      </c>
      <c r="C398" s="569" t="s">
        <v>1950</v>
      </c>
      <c r="D398" s="570">
        <v>4</v>
      </c>
      <c r="E398" s="569" t="s">
        <v>3500</v>
      </c>
      <c r="F398" s="571">
        <v>5.5277777777777779E-4</v>
      </c>
      <c r="G398" s="569"/>
      <c r="H398" s="569"/>
      <c r="I398" s="572" t="s">
        <v>793</v>
      </c>
      <c r="J398" s="573" t="s">
        <v>4933</v>
      </c>
    </row>
    <row r="399" spans="1:10" s="252" customFormat="1" ht="12" customHeight="1" x14ac:dyDescent="0.15">
      <c r="A399" s="620" t="s">
        <v>4895</v>
      </c>
      <c r="B399" s="621">
        <v>42514</v>
      </c>
      <c r="C399" s="622" t="s">
        <v>3286</v>
      </c>
      <c r="D399" s="623">
        <v>5</v>
      </c>
      <c r="E399" s="624" t="s">
        <v>3500</v>
      </c>
      <c r="F399" s="625">
        <v>6.9444444444444447E-4</v>
      </c>
      <c r="G399" s="622"/>
      <c r="H399" s="622"/>
      <c r="I399" s="626" t="s">
        <v>4239</v>
      </c>
      <c r="J399" s="627"/>
    </row>
    <row r="400" spans="1:10" s="252" customFormat="1" ht="12" customHeight="1" x14ac:dyDescent="0.15">
      <c r="A400" s="496" t="s">
        <v>1666</v>
      </c>
      <c r="B400" s="497">
        <v>42517</v>
      </c>
      <c r="C400" s="498" t="s">
        <v>1035</v>
      </c>
      <c r="D400" s="499">
        <v>4</v>
      </c>
      <c r="E400" s="498" t="s">
        <v>662</v>
      </c>
      <c r="F400" s="500">
        <v>5.4861111111111104E-4</v>
      </c>
      <c r="G400" s="498"/>
      <c r="H400" s="498"/>
      <c r="I400" s="501" t="s">
        <v>4866</v>
      </c>
      <c r="J400" s="502" t="s">
        <v>4921</v>
      </c>
    </row>
    <row r="401" spans="1:10" s="252" customFormat="1" ht="12" customHeight="1" x14ac:dyDescent="0.15">
      <c r="A401" s="496" t="s">
        <v>2467</v>
      </c>
      <c r="B401" s="497">
        <v>42517</v>
      </c>
      <c r="C401" s="498" t="s">
        <v>4922</v>
      </c>
      <c r="D401" s="499">
        <v>4</v>
      </c>
      <c r="E401" s="498" t="s">
        <v>3500</v>
      </c>
      <c r="F401" s="500">
        <v>5.9027777777777778E-4</v>
      </c>
      <c r="G401" s="498"/>
      <c r="H401" s="498"/>
      <c r="I401" s="501" t="s">
        <v>3977</v>
      </c>
      <c r="J401" s="502" t="s">
        <v>4923</v>
      </c>
    </row>
    <row r="402" spans="1:10" s="251" customFormat="1" ht="12" customHeight="1" x14ac:dyDescent="0.15">
      <c r="A402" s="599" t="s">
        <v>2178</v>
      </c>
      <c r="B402" s="568">
        <v>42514</v>
      </c>
      <c r="C402" s="569" t="s">
        <v>2315</v>
      </c>
      <c r="D402" s="570">
        <v>3</v>
      </c>
      <c r="E402" s="600" t="s">
        <v>3500</v>
      </c>
      <c r="F402" s="571">
        <v>4.236111111111111E-4</v>
      </c>
      <c r="G402" s="569" t="s">
        <v>4366</v>
      </c>
      <c r="H402" s="569"/>
      <c r="I402" s="572" t="s">
        <v>964</v>
      </c>
      <c r="J402" s="573"/>
    </row>
    <row r="403" spans="1:10" s="251" customFormat="1" ht="12" customHeight="1" x14ac:dyDescent="0.15">
      <c r="A403" s="489" t="s">
        <v>2365</v>
      </c>
      <c r="B403" s="490">
        <v>42515</v>
      </c>
      <c r="C403" s="491" t="s">
        <v>4417</v>
      </c>
      <c r="D403" s="492">
        <v>5</v>
      </c>
      <c r="E403" s="491" t="s">
        <v>3501</v>
      </c>
      <c r="F403" s="493">
        <v>7.2685185185185179E-4</v>
      </c>
      <c r="G403" s="491"/>
      <c r="H403" s="491"/>
      <c r="I403" s="494" t="s">
        <v>2232</v>
      </c>
      <c r="J403" s="495"/>
    </row>
    <row r="404" spans="1:10" s="597" customFormat="1" ht="12" customHeight="1" x14ac:dyDescent="0.15">
      <c r="A404" s="590" t="s">
        <v>3607</v>
      </c>
      <c r="B404" s="591">
        <v>42515</v>
      </c>
      <c r="C404" s="592" t="s">
        <v>1950</v>
      </c>
      <c r="D404" s="593">
        <v>3</v>
      </c>
      <c r="E404" s="592" t="s">
        <v>3500</v>
      </c>
      <c r="F404" s="594">
        <v>4.4583333333333329E-4</v>
      </c>
      <c r="G404" s="592"/>
      <c r="H404" s="592"/>
      <c r="I404" s="595" t="s">
        <v>4896</v>
      </c>
      <c r="J404" s="596"/>
    </row>
    <row r="405" spans="1:10" s="251" customFormat="1" ht="12" customHeight="1" x14ac:dyDescent="0.15">
      <c r="A405" s="489" t="s">
        <v>1539</v>
      </c>
      <c r="B405" s="490">
        <v>42516</v>
      </c>
      <c r="C405" s="491" t="s">
        <v>4778</v>
      </c>
      <c r="D405" s="492">
        <v>4</v>
      </c>
      <c r="E405" s="491" t="s">
        <v>3500</v>
      </c>
      <c r="F405" s="493">
        <v>6.134259259259259E-4</v>
      </c>
      <c r="G405" s="491"/>
      <c r="H405" s="491"/>
      <c r="I405" s="494" t="s">
        <v>4906</v>
      </c>
      <c r="J405" s="495"/>
    </row>
    <row r="406" spans="1:10" s="251" customFormat="1" ht="12" customHeight="1" x14ac:dyDescent="0.15">
      <c r="A406" s="489" t="s">
        <v>1965</v>
      </c>
      <c r="B406" s="490">
        <v>42517</v>
      </c>
      <c r="C406" s="491" t="s">
        <v>4639</v>
      </c>
      <c r="D406" s="492">
        <v>4</v>
      </c>
      <c r="E406" s="491" t="s">
        <v>3500</v>
      </c>
      <c r="F406" s="493">
        <v>6.2268518518518521E-4</v>
      </c>
      <c r="G406" s="491"/>
      <c r="H406" s="491"/>
      <c r="I406" s="494" t="s">
        <v>4919</v>
      </c>
      <c r="J406" s="495"/>
    </row>
    <row r="407" spans="1:10" s="251" customFormat="1" ht="12" customHeight="1" x14ac:dyDescent="0.15">
      <c r="A407" s="489" t="s">
        <v>121</v>
      </c>
      <c r="B407" s="490">
        <v>42517</v>
      </c>
      <c r="C407" s="491" t="s">
        <v>4748</v>
      </c>
      <c r="D407" s="492">
        <v>4</v>
      </c>
      <c r="E407" s="491" t="s">
        <v>3500</v>
      </c>
      <c r="F407" s="493">
        <v>5.7638888888888887E-4</v>
      </c>
      <c r="G407" s="491"/>
      <c r="H407" s="491"/>
      <c r="I407" s="494" t="s">
        <v>4608</v>
      </c>
      <c r="J407" s="495"/>
    </row>
    <row r="408" spans="1:10" s="251" customFormat="1" ht="12" customHeight="1" x14ac:dyDescent="0.15">
      <c r="A408" s="489" t="s">
        <v>1897</v>
      </c>
      <c r="B408" s="490">
        <v>42517</v>
      </c>
      <c r="C408" s="491" t="s">
        <v>4778</v>
      </c>
      <c r="D408" s="492">
        <v>4</v>
      </c>
      <c r="E408" s="491" t="s">
        <v>3500</v>
      </c>
      <c r="F408" s="493">
        <v>5.8796296296296287E-4</v>
      </c>
      <c r="G408" s="491"/>
      <c r="H408" s="491"/>
      <c r="I408" s="494" t="s">
        <v>4920</v>
      </c>
      <c r="J408" s="495"/>
    </row>
    <row r="409" spans="1:10" s="251" customFormat="1" ht="12" customHeight="1" x14ac:dyDescent="0.15">
      <c r="A409" s="489" t="s">
        <v>2478</v>
      </c>
      <c r="B409" s="490">
        <v>42518</v>
      </c>
      <c r="C409" s="491" t="s">
        <v>3200</v>
      </c>
      <c r="D409" s="492">
        <v>5</v>
      </c>
      <c r="E409" s="491" t="s">
        <v>3500</v>
      </c>
      <c r="F409" s="493">
        <v>7.0729166666666672E-4</v>
      </c>
      <c r="G409" s="491"/>
      <c r="H409" s="491"/>
      <c r="I409" s="494" t="s">
        <v>4927</v>
      </c>
      <c r="J409" s="495"/>
    </row>
    <row r="410" spans="1:10" s="251" customFormat="1" ht="12" customHeight="1" x14ac:dyDescent="0.15">
      <c r="A410" s="489" t="s">
        <v>2480</v>
      </c>
      <c r="B410" s="490">
        <v>42518</v>
      </c>
      <c r="C410" s="491" t="s">
        <v>1948</v>
      </c>
      <c r="D410" s="492">
        <v>3</v>
      </c>
      <c r="E410" s="491" t="s">
        <v>3500</v>
      </c>
      <c r="F410" s="493">
        <v>4.2951388888888884E-4</v>
      </c>
      <c r="G410" s="491"/>
      <c r="H410" s="491"/>
      <c r="I410" s="494" t="s">
        <v>4928</v>
      </c>
      <c r="J410" s="495"/>
    </row>
    <row r="411" spans="1:10" s="251" customFormat="1" ht="12" customHeight="1" x14ac:dyDescent="0.15">
      <c r="A411" s="489" t="s">
        <v>2164</v>
      </c>
      <c r="B411" s="490">
        <v>42518</v>
      </c>
      <c r="C411" s="491" t="s">
        <v>2315</v>
      </c>
      <c r="D411" s="492">
        <v>4</v>
      </c>
      <c r="E411" s="491" t="s">
        <v>3500</v>
      </c>
      <c r="F411" s="493">
        <v>5.6111111111111108E-4</v>
      </c>
      <c r="G411" s="491"/>
      <c r="H411" s="491"/>
      <c r="I411" s="494" t="s">
        <v>4929</v>
      </c>
      <c r="J411" s="495"/>
    </row>
    <row r="412" spans="1:10" s="251" customFormat="1" ht="12" customHeight="1" x14ac:dyDescent="0.15">
      <c r="A412" s="489" t="s">
        <v>2177</v>
      </c>
      <c r="B412" s="490">
        <v>42518</v>
      </c>
      <c r="C412" s="491" t="s">
        <v>3286</v>
      </c>
      <c r="D412" s="492">
        <v>4</v>
      </c>
      <c r="E412" s="491" t="s">
        <v>3500</v>
      </c>
      <c r="F412" s="493">
        <v>5.6250000000000007E-4</v>
      </c>
      <c r="G412" s="491"/>
      <c r="H412" s="491"/>
      <c r="I412" s="494" t="s">
        <v>4101</v>
      </c>
      <c r="J412" s="495"/>
    </row>
    <row r="413" spans="1:10" s="251" customFormat="1" ht="12" customHeight="1" x14ac:dyDescent="0.15">
      <c r="A413" s="489" t="s">
        <v>2218</v>
      </c>
      <c r="B413" s="490">
        <v>42518</v>
      </c>
      <c r="C413" s="491" t="s">
        <v>3205</v>
      </c>
      <c r="D413" s="492">
        <v>4</v>
      </c>
      <c r="E413" s="491" t="s">
        <v>3500</v>
      </c>
      <c r="F413" s="493">
        <v>5.7870370370370378E-4</v>
      </c>
      <c r="G413" s="491"/>
      <c r="H413" s="491"/>
      <c r="I413" s="494" t="s">
        <v>3270</v>
      </c>
      <c r="J413" s="495"/>
    </row>
    <row r="414" spans="1:10" s="251" customFormat="1" ht="12" customHeight="1" x14ac:dyDescent="0.15">
      <c r="A414" s="489" t="s">
        <v>3204</v>
      </c>
      <c r="B414" s="490">
        <v>42518</v>
      </c>
      <c r="C414" s="491" t="s">
        <v>2293</v>
      </c>
      <c r="D414" s="492">
        <v>4</v>
      </c>
      <c r="E414" s="491" t="s">
        <v>3500</v>
      </c>
      <c r="F414" s="493">
        <v>5.7407407407407407E-4</v>
      </c>
      <c r="G414" s="491"/>
      <c r="H414" s="491"/>
      <c r="I414" s="494" t="s">
        <v>4932</v>
      </c>
      <c r="J414" s="495"/>
    </row>
    <row r="415" spans="1:10" s="597" customFormat="1" ht="12" customHeight="1" x14ac:dyDescent="0.15">
      <c r="A415" s="590" t="s">
        <v>3099</v>
      </c>
      <c r="B415" s="591">
        <v>42518</v>
      </c>
      <c r="C415" s="592" t="s">
        <v>2293</v>
      </c>
      <c r="D415" s="593">
        <v>4</v>
      </c>
      <c r="E415" s="592" t="s">
        <v>3500</v>
      </c>
      <c r="F415" s="594">
        <v>5.8101851851851858E-4</v>
      </c>
      <c r="G415" s="592"/>
      <c r="H415" s="592"/>
      <c r="I415" s="595" t="s">
        <v>4931</v>
      </c>
      <c r="J415" s="596"/>
    </row>
    <row r="416" spans="1:10" s="251" customFormat="1" ht="12" customHeight="1" thickBot="1" x14ac:dyDescent="0.2">
      <c r="A416" s="489" t="s">
        <v>2227</v>
      </c>
      <c r="B416" s="490">
        <v>42519</v>
      </c>
      <c r="C416" s="491" t="s">
        <v>1950</v>
      </c>
      <c r="D416" s="492">
        <v>4</v>
      </c>
      <c r="E416" s="491" t="s">
        <v>3500</v>
      </c>
      <c r="F416" s="493">
        <v>5.7696759259259257E-4</v>
      </c>
      <c r="G416" s="491"/>
      <c r="H416" s="491"/>
      <c r="I416" s="491" t="s">
        <v>4938</v>
      </c>
      <c r="J416" s="495"/>
    </row>
    <row r="417" spans="1:10" s="251" customFormat="1" ht="12" customHeight="1" x14ac:dyDescent="0.15">
      <c r="A417" s="540" t="s">
        <v>2157</v>
      </c>
      <c r="B417" s="253">
        <v>42520</v>
      </c>
      <c r="C417" s="254" t="s">
        <v>4778</v>
      </c>
      <c r="D417" s="255">
        <v>4</v>
      </c>
      <c r="E417" s="342" t="s">
        <v>3500</v>
      </c>
      <c r="F417" s="256">
        <v>6.018518518518519E-4</v>
      </c>
      <c r="G417" s="254"/>
      <c r="H417" s="254"/>
      <c r="I417" s="257" t="s">
        <v>4946</v>
      </c>
      <c r="J417" s="258"/>
    </row>
    <row r="418" spans="1:10" s="251" customFormat="1" ht="12" customHeight="1" x14ac:dyDescent="0.15">
      <c r="A418" s="489" t="s">
        <v>1295</v>
      </c>
      <c r="B418" s="490">
        <v>42520</v>
      </c>
      <c r="C418" s="491" t="s">
        <v>3286</v>
      </c>
      <c r="D418" s="492">
        <v>4</v>
      </c>
      <c r="E418" s="491" t="s">
        <v>3500</v>
      </c>
      <c r="F418" s="493">
        <v>5.6250000000000007E-4</v>
      </c>
      <c r="G418" s="491"/>
      <c r="H418" s="491"/>
      <c r="I418" s="494" t="s">
        <v>1204</v>
      </c>
      <c r="J418" s="495" t="s">
        <v>4947</v>
      </c>
    </row>
    <row r="419" spans="1:10" s="251" customFormat="1" ht="12" customHeight="1" x14ac:dyDescent="0.15">
      <c r="A419" s="489" t="s">
        <v>1667</v>
      </c>
      <c r="B419" s="490">
        <v>42521</v>
      </c>
      <c r="C419" s="491" t="s">
        <v>2006</v>
      </c>
      <c r="D419" s="492">
        <v>6</v>
      </c>
      <c r="E419" s="491" t="s">
        <v>3502</v>
      </c>
      <c r="F419" s="493">
        <v>8.1712962962962978E-4</v>
      </c>
      <c r="G419" s="491"/>
      <c r="H419" s="491"/>
      <c r="I419" s="494" t="s">
        <v>4849</v>
      </c>
      <c r="J419" s="495" t="s">
        <v>4955</v>
      </c>
    </row>
    <row r="420" spans="1:10" s="251" customFormat="1" ht="12" customHeight="1" x14ac:dyDescent="0.15">
      <c r="A420" s="489" t="s">
        <v>1965</v>
      </c>
      <c r="B420" s="490">
        <v>42524</v>
      </c>
      <c r="C420" s="491" t="s">
        <v>4639</v>
      </c>
      <c r="D420" s="492">
        <v>5</v>
      </c>
      <c r="E420" s="491" t="s">
        <v>3500</v>
      </c>
      <c r="F420" s="493">
        <v>7.3148148148148139E-4</v>
      </c>
      <c r="G420" s="491"/>
      <c r="H420" s="491"/>
      <c r="I420" s="494"/>
      <c r="J420" s="495"/>
    </row>
    <row r="421" spans="1:10" s="251" customFormat="1" ht="12" customHeight="1" x14ac:dyDescent="0.15">
      <c r="A421" s="489" t="s">
        <v>2355</v>
      </c>
      <c r="B421" s="490">
        <v>42526</v>
      </c>
      <c r="C421" s="491" t="s">
        <v>3200</v>
      </c>
      <c r="D421" s="492">
        <v>4</v>
      </c>
      <c r="E421" s="491"/>
      <c r="F421" s="493"/>
      <c r="G421" s="491"/>
      <c r="H421" s="491"/>
      <c r="I421" s="494"/>
      <c r="J421" s="495"/>
    </row>
    <row r="422" spans="1:10" s="251" customFormat="1" ht="12" customHeight="1" thickBot="1" x14ac:dyDescent="0.2">
      <c r="A422" s="489" t="s">
        <v>2365</v>
      </c>
      <c r="B422" s="490">
        <v>42521</v>
      </c>
      <c r="C422" s="491" t="s">
        <v>4417</v>
      </c>
      <c r="D422" s="492">
        <v>6</v>
      </c>
      <c r="E422" s="491" t="s">
        <v>3501</v>
      </c>
      <c r="F422" s="493">
        <v>8.611111111111111E-4</v>
      </c>
      <c r="G422" s="491"/>
      <c r="H422" s="491"/>
      <c r="I422" s="491" t="s">
        <v>2232</v>
      </c>
      <c r="J422" s="495"/>
    </row>
    <row r="423" spans="1:10" s="251" customFormat="1" ht="12" customHeight="1" x14ac:dyDescent="0.15">
      <c r="A423" s="540" t="s">
        <v>2177</v>
      </c>
      <c r="B423" s="253">
        <v>42527</v>
      </c>
      <c r="C423" s="254" t="s">
        <v>3286</v>
      </c>
      <c r="D423" s="255">
        <v>3</v>
      </c>
      <c r="E423" s="342" t="s">
        <v>3500</v>
      </c>
      <c r="F423" s="256">
        <v>4.3981481481481481E-4</v>
      </c>
      <c r="G423" s="254"/>
      <c r="H423" s="254"/>
      <c r="I423" s="257" t="s">
        <v>4989</v>
      </c>
      <c r="J423" s="258"/>
    </row>
    <row r="424" spans="1:10" s="251" customFormat="1" ht="12" customHeight="1" x14ac:dyDescent="0.15">
      <c r="A424" s="489" t="s">
        <v>3154</v>
      </c>
      <c r="B424" s="490">
        <v>42527</v>
      </c>
      <c r="C424" s="491" t="s">
        <v>1950</v>
      </c>
      <c r="D424" s="492">
        <v>4</v>
      </c>
      <c r="E424" s="491" t="s">
        <v>3500</v>
      </c>
      <c r="F424" s="493">
        <v>5.5937499999999998E-4</v>
      </c>
      <c r="G424" s="491"/>
      <c r="H424" s="491"/>
      <c r="I424" s="494" t="s">
        <v>4097</v>
      </c>
      <c r="J424" s="495"/>
    </row>
    <row r="425" spans="1:10" s="251" customFormat="1" ht="12" customHeight="1" x14ac:dyDescent="0.15">
      <c r="A425" s="489" t="s">
        <v>3203</v>
      </c>
      <c r="B425" s="490">
        <v>42528</v>
      </c>
      <c r="C425" s="491" t="s">
        <v>4460</v>
      </c>
      <c r="D425" s="492">
        <v>5</v>
      </c>
      <c r="E425" s="491" t="s">
        <v>3500</v>
      </c>
      <c r="F425" s="493">
        <v>7.0370370370370378E-4</v>
      </c>
      <c r="G425" s="491"/>
      <c r="H425" s="491"/>
      <c r="I425" s="494" t="s">
        <v>964</v>
      </c>
      <c r="J425" s="495"/>
    </row>
    <row r="426" spans="1:10" s="251" customFormat="1" ht="12" customHeight="1" x14ac:dyDescent="0.15">
      <c r="A426" s="489" t="s">
        <v>54</v>
      </c>
      <c r="B426" s="490">
        <v>42528</v>
      </c>
      <c r="C426" s="491" t="s">
        <v>4990</v>
      </c>
      <c r="D426" s="492">
        <v>3</v>
      </c>
      <c r="E426" s="491" t="s">
        <v>3500</v>
      </c>
      <c r="F426" s="493">
        <v>4.3055555555555555E-4</v>
      </c>
      <c r="G426" s="491"/>
      <c r="H426" s="491"/>
      <c r="I426" s="494" t="s">
        <v>4363</v>
      </c>
      <c r="J426" s="495" t="s">
        <v>4991</v>
      </c>
    </row>
    <row r="427" spans="1:10" s="251" customFormat="1" ht="12" customHeight="1" x14ac:dyDescent="0.15">
      <c r="A427" s="489" t="s">
        <v>3183</v>
      </c>
      <c r="B427" s="490">
        <v>42529</v>
      </c>
      <c r="C427" s="491" t="s">
        <v>3744</v>
      </c>
      <c r="D427" s="492">
        <v>4</v>
      </c>
      <c r="E427" s="491" t="s">
        <v>3500</v>
      </c>
      <c r="F427" s="493">
        <v>6.018518518518519E-4</v>
      </c>
      <c r="G427" s="491"/>
      <c r="H427" s="491"/>
      <c r="I427" s="494" t="s">
        <v>3981</v>
      </c>
      <c r="J427" s="495" t="s">
        <v>4995</v>
      </c>
    </row>
    <row r="428" spans="1:10" s="251" customFormat="1" ht="12" customHeight="1" x14ac:dyDescent="0.15">
      <c r="A428" s="489" t="s">
        <v>351</v>
      </c>
      <c r="B428" s="490">
        <v>42529</v>
      </c>
      <c r="C428" s="491" t="s">
        <v>4704</v>
      </c>
      <c r="D428" s="492">
        <v>4</v>
      </c>
      <c r="E428" s="491" t="s">
        <v>3501</v>
      </c>
      <c r="F428" s="493">
        <v>5.8564814814814818E-4</v>
      </c>
      <c r="G428" s="491"/>
      <c r="H428" s="491"/>
      <c r="I428" s="494" t="s">
        <v>4994</v>
      </c>
      <c r="J428" s="495"/>
    </row>
    <row r="429" spans="1:10" s="251" customFormat="1" ht="12" customHeight="1" x14ac:dyDescent="0.15">
      <c r="A429" s="489" t="s">
        <v>2276</v>
      </c>
      <c r="B429" s="490">
        <v>42529</v>
      </c>
      <c r="C429" s="491" t="s">
        <v>1950</v>
      </c>
      <c r="D429" s="492">
        <v>5</v>
      </c>
      <c r="E429" s="491" t="s">
        <v>3500</v>
      </c>
      <c r="F429" s="493">
        <v>7.3148148148148139E-4</v>
      </c>
      <c r="G429" s="491" t="s">
        <v>961</v>
      </c>
      <c r="H429" s="491"/>
      <c r="I429" s="494" t="s">
        <v>4489</v>
      </c>
      <c r="J429" s="495"/>
    </row>
    <row r="430" spans="1:10" s="251" customFormat="1" ht="12" customHeight="1" x14ac:dyDescent="0.15">
      <c r="A430" s="489" t="s">
        <v>3176</v>
      </c>
      <c r="B430" s="490">
        <v>42530</v>
      </c>
      <c r="C430" s="491" t="s">
        <v>5004</v>
      </c>
      <c r="D430" s="492">
        <v>4</v>
      </c>
      <c r="E430" s="491" t="s">
        <v>3500</v>
      </c>
      <c r="F430" s="493">
        <v>5.9027777777777778E-4</v>
      </c>
      <c r="G430" s="491"/>
      <c r="H430" s="491"/>
      <c r="I430" s="494" t="s">
        <v>5005</v>
      </c>
      <c r="J430" s="495"/>
    </row>
    <row r="431" spans="1:10" s="251" customFormat="1" ht="12" customHeight="1" x14ac:dyDescent="0.15">
      <c r="A431" s="489" t="s">
        <v>2143</v>
      </c>
      <c r="B431" s="490">
        <v>42530</v>
      </c>
      <c r="C431" s="491" t="s">
        <v>2315</v>
      </c>
      <c r="D431" s="492">
        <v>5</v>
      </c>
      <c r="E431" s="491" t="s">
        <v>3501</v>
      </c>
      <c r="F431" s="493">
        <v>7.0347222222222209E-4</v>
      </c>
      <c r="G431" s="491"/>
      <c r="H431" s="491"/>
      <c r="I431" s="494" t="s">
        <v>4098</v>
      </c>
      <c r="J431" s="495"/>
    </row>
    <row r="432" spans="1:10" s="252" customFormat="1" ht="12" customHeight="1" x14ac:dyDescent="0.15">
      <c r="A432" s="496" t="s">
        <v>1557</v>
      </c>
      <c r="B432" s="497">
        <v>42531</v>
      </c>
      <c r="C432" s="498" t="s">
        <v>4721</v>
      </c>
      <c r="D432" s="499"/>
      <c r="E432" s="498"/>
      <c r="F432" s="500"/>
      <c r="G432" s="498"/>
      <c r="H432" s="498"/>
      <c r="I432" s="501" t="s">
        <v>5033</v>
      </c>
      <c r="J432" s="502"/>
    </row>
    <row r="433" spans="1:10" s="251" customFormat="1" ht="12" customHeight="1" x14ac:dyDescent="0.15">
      <c r="A433" s="489" t="s">
        <v>2478</v>
      </c>
      <c r="B433" s="490">
        <v>42531</v>
      </c>
      <c r="C433" s="491" t="s">
        <v>3200</v>
      </c>
      <c r="D433" s="492">
        <v>3</v>
      </c>
      <c r="E433" s="491" t="s">
        <v>3500</v>
      </c>
      <c r="F433" s="493">
        <v>4.1724537037037034E-4</v>
      </c>
      <c r="G433" s="491"/>
      <c r="H433" s="491"/>
      <c r="I433" s="494" t="s">
        <v>5010</v>
      </c>
      <c r="J433" s="495"/>
    </row>
    <row r="434" spans="1:10" s="251" customFormat="1" ht="12.75" customHeight="1" x14ac:dyDescent="0.15">
      <c r="A434" s="489" t="s">
        <v>5055</v>
      </c>
      <c r="B434" s="490">
        <v>42533</v>
      </c>
      <c r="C434" s="491" t="s">
        <v>2293</v>
      </c>
      <c r="D434" s="492">
        <v>3</v>
      </c>
      <c r="E434" s="491" t="s">
        <v>3500</v>
      </c>
      <c r="F434" s="493">
        <v>4.3518518518518521E-4</v>
      </c>
      <c r="G434" s="491"/>
      <c r="H434" s="491"/>
      <c r="I434" s="494" t="s">
        <v>5056</v>
      </c>
      <c r="J434" s="495"/>
    </row>
    <row r="435" spans="1:10" s="251" customFormat="1" ht="12" customHeight="1" thickBot="1" x14ac:dyDescent="0.2">
      <c r="A435" s="489" t="s">
        <v>1943</v>
      </c>
      <c r="B435" s="490">
        <v>42533</v>
      </c>
      <c r="C435" s="491" t="s">
        <v>4715</v>
      </c>
      <c r="D435" s="492">
        <v>4</v>
      </c>
      <c r="E435" s="491" t="s">
        <v>3500</v>
      </c>
      <c r="F435" s="493">
        <v>5.6712962962962956E-4</v>
      </c>
      <c r="G435" s="491"/>
      <c r="H435" s="491"/>
      <c r="I435" s="491" t="s">
        <v>5050</v>
      </c>
      <c r="J435" s="495"/>
    </row>
    <row r="436" spans="1:10" s="251" customFormat="1" ht="12" customHeight="1" x14ac:dyDescent="0.15">
      <c r="A436" s="540" t="s">
        <v>4396</v>
      </c>
      <c r="B436" s="253">
        <v>42537</v>
      </c>
      <c r="C436" s="254" t="s">
        <v>2315</v>
      </c>
      <c r="D436" s="255">
        <v>4</v>
      </c>
      <c r="E436" s="342" t="s">
        <v>3500</v>
      </c>
      <c r="F436" s="256">
        <v>5.8680555555555558E-4</v>
      </c>
      <c r="G436" s="254" t="s">
        <v>960</v>
      </c>
      <c r="H436" s="254"/>
      <c r="I436" s="257" t="s">
        <v>2232</v>
      </c>
      <c r="J436" s="258"/>
    </row>
    <row r="437" spans="1:10" s="597" customFormat="1" ht="12" customHeight="1" x14ac:dyDescent="0.15">
      <c r="A437" s="590" t="s">
        <v>3318</v>
      </c>
      <c r="B437" s="591">
        <v>42535</v>
      </c>
      <c r="C437" s="592" t="s">
        <v>4278</v>
      </c>
      <c r="D437" s="593">
        <v>3</v>
      </c>
      <c r="E437" s="592" t="s">
        <v>3500</v>
      </c>
      <c r="F437" s="594">
        <v>4.6296296296296293E-4</v>
      </c>
      <c r="G437" s="592"/>
      <c r="H437" s="592"/>
      <c r="I437" s="595" t="s">
        <v>2436</v>
      </c>
      <c r="J437" s="596" t="s">
        <v>5065</v>
      </c>
    </row>
    <row r="438" spans="1:10" s="597" customFormat="1" ht="12" customHeight="1" x14ac:dyDescent="0.15">
      <c r="A438" s="590" t="s">
        <v>3099</v>
      </c>
      <c r="B438" s="591">
        <v>42539</v>
      </c>
      <c r="C438" s="592" t="s">
        <v>2293</v>
      </c>
      <c r="D438" s="593">
        <v>4</v>
      </c>
      <c r="E438" s="592" t="s">
        <v>3501</v>
      </c>
      <c r="F438" s="594">
        <v>5.7175925925925927E-4</v>
      </c>
      <c r="G438" s="592"/>
      <c r="H438" s="592" t="s">
        <v>5063</v>
      </c>
      <c r="I438" s="595" t="s">
        <v>5062</v>
      </c>
      <c r="J438" s="596" t="s">
        <v>5064</v>
      </c>
    </row>
    <row r="439" spans="1:10" s="251" customFormat="1" ht="12" customHeight="1" x14ac:dyDescent="0.15">
      <c r="A439" s="489" t="s">
        <v>1529</v>
      </c>
      <c r="B439" s="490">
        <v>42539</v>
      </c>
      <c r="C439" s="491" t="s">
        <v>3200</v>
      </c>
      <c r="D439" s="492">
        <v>4</v>
      </c>
      <c r="E439" s="491" t="s">
        <v>662</v>
      </c>
      <c r="F439" s="493">
        <v>5.7789351851851849E-4</v>
      </c>
      <c r="G439" s="491"/>
      <c r="H439" s="491"/>
      <c r="I439" s="494" t="s">
        <v>5076</v>
      </c>
      <c r="J439" s="495" t="s">
        <v>5077</v>
      </c>
    </row>
    <row r="440" spans="1:10" s="251" customFormat="1" ht="12" customHeight="1" x14ac:dyDescent="0.15">
      <c r="A440" s="489" t="s">
        <v>1670</v>
      </c>
      <c r="B440" s="490">
        <v>42540</v>
      </c>
      <c r="C440" s="491" t="s">
        <v>5079</v>
      </c>
      <c r="D440" s="492">
        <v>4</v>
      </c>
      <c r="E440" s="491" t="s">
        <v>3500</v>
      </c>
      <c r="F440" s="493">
        <v>4.3981481481481481E-4</v>
      </c>
      <c r="G440" s="491"/>
      <c r="H440" s="491"/>
      <c r="I440" s="494" t="s">
        <v>2232</v>
      </c>
      <c r="J440" s="495" t="s">
        <v>5080</v>
      </c>
    </row>
    <row r="441" spans="1:10" s="251" customFormat="1" ht="12" customHeight="1" x14ac:dyDescent="0.15">
      <c r="A441" s="489" t="s">
        <v>1710</v>
      </c>
      <c r="B441" s="490">
        <v>42536</v>
      </c>
      <c r="C441" s="491" t="s">
        <v>4660</v>
      </c>
      <c r="D441" s="492">
        <v>5</v>
      </c>
      <c r="E441" s="491" t="s">
        <v>3500</v>
      </c>
      <c r="F441" s="493">
        <v>7.430555555555555E-4</v>
      </c>
      <c r="G441" s="491"/>
      <c r="H441" s="491"/>
      <c r="I441" s="494" t="s">
        <v>4638</v>
      </c>
      <c r="J441" s="495"/>
    </row>
    <row r="442" spans="1:10" s="251" customFormat="1" ht="12" customHeight="1" x14ac:dyDescent="0.15">
      <c r="A442" s="489" t="s">
        <v>3182</v>
      </c>
      <c r="B442" s="490">
        <v>42536</v>
      </c>
      <c r="C442" s="491" t="s">
        <v>1950</v>
      </c>
      <c r="D442" s="492">
        <v>5</v>
      </c>
      <c r="E442" s="491" t="s">
        <v>3500</v>
      </c>
      <c r="F442" s="493">
        <v>7.2662037037037042E-4</v>
      </c>
      <c r="G442" s="491"/>
      <c r="H442" s="491"/>
      <c r="I442" s="494" t="s">
        <v>4098</v>
      </c>
      <c r="J442" s="495"/>
    </row>
    <row r="443" spans="1:10" s="251" customFormat="1" ht="12" customHeight="1" x14ac:dyDescent="0.15">
      <c r="A443" s="489" t="s">
        <v>2355</v>
      </c>
      <c r="B443" s="490">
        <v>42538</v>
      </c>
      <c r="C443" s="491" t="s">
        <v>3200</v>
      </c>
      <c r="D443" s="492">
        <v>4</v>
      </c>
      <c r="E443" s="491" t="s">
        <v>3500</v>
      </c>
      <c r="F443" s="493">
        <v>5.8692129629629632E-4</v>
      </c>
      <c r="G443" s="491"/>
      <c r="H443" s="491"/>
      <c r="I443" s="494" t="s">
        <v>5058</v>
      </c>
      <c r="J443" s="495"/>
    </row>
    <row r="444" spans="1:10" s="251" customFormat="1" ht="12" customHeight="1" x14ac:dyDescent="0.15">
      <c r="A444" s="489" t="s">
        <v>2478</v>
      </c>
      <c r="B444" s="490">
        <v>42538</v>
      </c>
      <c r="C444" s="491" t="s">
        <v>3200</v>
      </c>
      <c r="D444" s="492">
        <v>4</v>
      </c>
      <c r="E444" s="491" t="s">
        <v>3500</v>
      </c>
      <c r="F444" s="493">
        <v>5.8761574074074076E-4</v>
      </c>
      <c r="G444" s="491"/>
      <c r="H444" s="491"/>
      <c r="I444" s="494" t="s">
        <v>5059</v>
      </c>
      <c r="J444" s="495"/>
    </row>
    <row r="445" spans="1:10" s="251" customFormat="1" ht="12" customHeight="1" x14ac:dyDescent="0.15">
      <c r="A445" s="489" t="s">
        <v>2143</v>
      </c>
      <c r="B445" s="490">
        <v>42539</v>
      </c>
      <c r="C445" s="491" t="s">
        <v>2315</v>
      </c>
      <c r="D445" s="492">
        <v>4</v>
      </c>
      <c r="E445" s="491" t="s">
        <v>3500</v>
      </c>
      <c r="F445" s="493"/>
      <c r="G445" s="491"/>
      <c r="H445" s="491"/>
      <c r="I445" s="494" t="s">
        <v>5061</v>
      </c>
      <c r="J445" s="495"/>
    </row>
    <row r="446" spans="1:10" s="251" customFormat="1" ht="12" customHeight="1" x14ac:dyDescent="0.15">
      <c r="A446" s="489" t="s">
        <v>2155</v>
      </c>
      <c r="B446" s="490">
        <v>42539</v>
      </c>
      <c r="C446" s="491" t="s">
        <v>2293</v>
      </c>
      <c r="D446" s="492">
        <v>4</v>
      </c>
      <c r="E446" s="491" t="s">
        <v>3500</v>
      </c>
      <c r="F446" s="493">
        <v>5.6250000000000007E-4</v>
      </c>
      <c r="G446" s="491"/>
      <c r="H446" s="491"/>
      <c r="I446" s="494" t="s">
        <v>5066</v>
      </c>
      <c r="J446" s="495"/>
    </row>
    <row r="447" spans="1:10" s="251" customFormat="1" ht="12" customHeight="1" x14ac:dyDescent="0.15">
      <c r="A447" s="489" t="s">
        <v>33</v>
      </c>
      <c r="B447" s="490">
        <v>42539</v>
      </c>
      <c r="C447" s="491" t="s">
        <v>3212</v>
      </c>
      <c r="D447" s="492">
        <v>4</v>
      </c>
      <c r="E447" s="491" t="s">
        <v>3500</v>
      </c>
      <c r="F447" s="493"/>
      <c r="G447" s="491"/>
      <c r="H447" s="491"/>
      <c r="I447" s="503" t="s">
        <v>5067</v>
      </c>
      <c r="J447" s="495"/>
    </row>
    <row r="448" spans="1:10" s="251" customFormat="1" ht="12" customHeight="1" x14ac:dyDescent="0.15">
      <c r="A448" s="489" t="s">
        <v>5068</v>
      </c>
      <c r="B448" s="490">
        <v>42539</v>
      </c>
      <c r="C448" s="491" t="s">
        <v>5069</v>
      </c>
      <c r="D448" s="492">
        <v>4</v>
      </c>
      <c r="E448" s="491" t="s">
        <v>3500</v>
      </c>
      <c r="F448" s="493"/>
      <c r="G448" s="491"/>
      <c r="H448" s="491"/>
      <c r="I448" s="494" t="s">
        <v>5070</v>
      </c>
      <c r="J448" s="495"/>
    </row>
    <row r="449" spans="1:10" s="251" customFormat="1" ht="12" customHeight="1" x14ac:dyDescent="0.15">
      <c r="A449" s="489" t="s">
        <v>3333</v>
      </c>
      <c r="B449" s="490">
        <v>42540</v>
      </c>
      <c r="C449" s="491" t="s">
        <v>4683</v>
      </c>
      <c r="D449" s="492">
        <v>4</v>
      </c>
      <c r="E449" s="491" t="s">
        <v>3501</v>
      </c>
      <c r="F449" s="493">
        <v>5.6712962962962956E-4</v>
      </c>
      <c r="G449" s="491"/>
      <c r="H449" s="491"/>
      <c r="I449" s="494" t="s">
        <v>5075</v>
      </c>
      <c r="J449" s="495"/>
    </row>
    <row r="450" spans="1:10" s="251" customFormat="1" ht="12" customHeight="1" thickBot="1" x14ac:dyDescent="0.2">
      <c r="A450" s="489" t="s">
        <v>2467</v>
      </c>
      <c r="B450" s="490">
        <v>42540</v>
      </c>
      <c r="C450" s="491" t="s">
        <v>3200</v>
      </c>
      <c r="D450" s="492">
        <v>5</v>
      </c>
      <c r="E450" s="491" t="s">
        <v>3500</v>
      </c>
      <c r="F450" s="493"/>
      <c r="G450" s="491"/>
      <c r="H450" s="491"/>
      <c r="I450" s="491" t="s">
        <v>4809</v>
      </c>
      <c r="J450" s="495"/>
    </row>
    <row r="451" spans="1:10" s="251" customFormat="1" ht="12" customHeight="1" x14ac:dyDescent="0.15">
      <c r="A451" s="540" t="s">
        <v>2480</v>
      </c>
      <c r="B451" s="253">
        <v>42541</v>
      </c>
      <c r="C451" s="254" t="s">
        <v>1948</v>
      </c>
      <c r="D451" s="255">
        <v>4</v>
      </c>
      <c r="E451" s="342" t="s">
        <v>3500</v>
      </c>
      <c r="F451" s="256">
        <v>6.2048611111111104E-4</v>
      </c>
      <c r="G451" s="254"/>
      <c r="H451" s="254"/>
      <c r="I451" s="257" t="s">
        <v>5081</v>
      </c>
      <c r="J451" s="258"/>
    </row>
    <row r="452" spans="1:10" s="252" customFormat="1" ht="12" customHeight="1" x14ac:dyDescent="0.15">
      <c r="A452" s="496" t="s">
        <v>5082</v>
      </c>
      <c r="B452" s="497">
        <v>42541</v>
      </c>
      <c r="C452" s="498" t="s">
        <v>4815</v>
      </c>
      <c r="D452" s="499">
        <v>4</v>
      </c>
      <c r="E452" s="498" t="s">
        <v>3500</v>
      </c>
      <c r="F452" s="500">
        <v>5.5208333333333335E-4</v>
      </c>
      <c r="G452" s="498"/>
      <c r="H452" s="498"/>
      <c r="I452" s="501" t="s">
        <v>4239</v>
      </c>
      <c r="J452" s="502" t="s">
        <v>5083</v>
      </c>
    </row>
    <row r="453" spans="1:10" s="252" customFormat="1" ht="12" customHeight="1" x14ac:dyDescent="0.15">
      <c r="A453" s="496" t="s">
        <v>54</v>
      </c>
      <c r="B453" s="497">
        <v>42542</v>
      </c>
      <c r="C453" s="498" t="s">
        <v>4990</v>
      </c>
      <c r="D453" s="499">
        <v>3</v>
      </c>
      <c r="E453" s="498" t="s">
        <v>3500</v>
      </c>
      <c r="F453" s="500">
        <v>4.259259259259259E-4</v>
      </c>
      <c r="G453" s="498"/>
      <c r="H453" s="498"/>
      <c r="I453" s="501" t="s">
        <v>4399</v>
      </c>
      <c r="J453" s="502"/>
    </row>
    <row r="454" spans="1:10" s="252" customFormat="1" ht="12" customHeight="1" x14ac:dyDescent="0.15">
      <c r="A454" s="496" t="s">
        <v>1666</v>
      </c>
      <c r="B454" s="497">
        <v>42543</v>
      </c>
      <c r="C454" s="498" t="s">
        <v>1035</v>
      </c>
      <c r="D454" s="499">
        <v>5</v>
      </c>
      <c r="E454" s="498" t="s">
        <v>3500</v>
      </c>
      <c r="F454" s="500">
        <v>6.7129629629629625E-4</v>
      </c>
      <c r="G454" s="498"/>
      <c r="H454" s="498"/>
      <c r="I454" s="501" t="s">
        <v>4835</v>
      </c>
      <c r="J454" s="502"/>
    </row>
    <row r="455" spans="1:10" s="252" customFormat="1" ht="12" customHeight="1" x14ac:dyDescent="0.15">
      <c r="A455" s="496" t="s">
        <v>2467</v>
      </c>
      <c r="B455" s="497">
        <v>42544</v>
      </c>
      <c r="C455" s="498" t="s">
        <v>3200</v>
      </c>
      <c r="D455" s="499">
        <v>5</v>
      </c>
      <c r="E455" s="498" t="s">
        <v>3500</v>
      </c>
      <c r="F455" s="500">
        <v>7.0486111111111107E-4</v>
      </c>
      <c r="G455" s="498"/>
      <c r="H455" s="498"/>
      <c r="I455" s="501" t="s">
        <v>3268</v>
      </c>
      <c r="J455" s="502"/>
    </row>
    <row r="456" spans="1:10" s="251" customFormat="1" ht="12" customHeight="1" x14ac:dyDescent="0.15">
      <c r="A456" s="489" t="s">
        <v>56</v>
      </c>
      <c r="B456" s="490">
        <v>42546</v>
      </c>
      <c r="C456" s="491" t="s">
        <v>5118</v>
      </c>
      <c r="D456" s="492">
        <v>3</v>
      </c>
      <c r="E456" s="491" t="s">
        <v>3500</v>
      </c>
      <c r="F456" s="493">
        <v>4.3981481481481481E-4</v>
      </c>
      <c r="G456" s="491"/>
      <c r="H456" s="491"/>
      <c r="I456" s="494" t="s">
        <v>4288</v>
      </c>
      <c r="J456" s="495" t="s">
        <v>5119</v>
      </c>
    </row>
    <row r="457" spans="1:10" s="251" customFormat="1" ht="12" customHeight="1" x14ac:dyDescent="0.15">
      <c r="A457" s="489" t="s">
        <v>3430</v>
      </c>
      <c r="B457" s="490">
        <v>42542</v>
      </c>
      <c r="C457" s="491" t="s">
        <v>1035</v>
      </c>
      <c r="D457" s="492">
        <v>3</v>
      </c>
      <c r="E457" s="491" t="s">
        <v>3500</v>
      </c>
      <c r="F457" s="493">
        <v>4.6064814814814818E-4</v>
      </c>
      <c r="G457" s="491"/>
      <c r="H457" s="491"/>
      <c r="I457" s="494" t="s">
        <v>4318</v>
      </c>
      <c r="J457" s="495" t="s">
        <v>5086</v>
      </c>
    </row>
    <row r="458" spans="1:10" s="251" customFormat="1" ht="12" customHeight="1" x14ac:dyDescent="0.15">
      <c r="A458" s="489" t="s">
        <v>4396</v>
      </c>
      <c r="B458" s="490">
        <v>42543</v>
      </c>
      <c r="C458" s="491" t="s">
        <v>2315</v>
      </c>
      <c r="D458" s="492">
        <v>4</v>
      </c>
      <c r="E458" s="491" t="s">
        <v>3500</v>
      </c>
      <c r="F458" s="493">
        <v>5.7881944444444441E-4</v>
      </c>
      <c r="G458" s="491"/>
      <c r="H458" s="491" t="s">
        <v>1249</v>
      </c>
      <c r="I458" s="494" t="s">
        <v>4318</v>
      </c>
      <c r="J458" s="495" t="s">
        <v>5097</v>
      </c>
    </row>
    <row r="459" spans="1:10" s="251" customFormat="1" ht="12" customHeight="1" x14ac:dyDescent="0.15">
      <c r="A459" s="489" t="s">
        <v>1670</v>
      </c>
      <c r="B459" s="490">
        <v>42543</v>
      </c>
      <c r="C459" s="491" t="s">
        <v>5079</v>
      </c>
      <c r="D459" s="492">
        <v>3</v>
      </c>
      <c r="E459" s="491" t="s">
        <v>3500</v>
      </c>
      <c r="F459" s="493">
        <v>4.4444444444444441E-4</v>
      </c>
      <c r="G459" s="491"/>
      <c r="H459" s="491" t="s">
        <v>1249</v>
      </c>
      <c r="I459" s="494" t="s">
        <v>5098</v>
      </c>
      <c r="J459" s="495" t="s">
        <v>5109</v>
      </c>
    </row>
    <row r="460" spans="1:10" s="251" customFormat="1" ht="12" customHeight="1" x14ac:dyDescent="0.15">
      <c r="A460" s="489" t="s">
        <v>3177</v>
      </c>
      <c r="B460" s="490">
        <v>42544</v>
      </c>
      <c r="C460" s="491" t="s">
        <v>2317</v>
      </c>
      <c r="D460" s="492">
        <v>3</v>
      </c>
      <c r="E460" s="491" t="s">
        <v>3500</v>
      </c>
      <c r="F460" s="493">
        <v>4.5370370370370378E-4</v>
      </c>
      <c r="G460" s="491"/>
      <c r="H460" s="491"/>
      <c r="I460" s="494" t="s">
        <v>4288</v>
      </c>
      <c r="J460" s="495" t="s">
        <v>5108</v>
      </c>
    </row>
    <row r="461" spans="1:10" s="251" customFormat="1" ht="12" customHeight="1" x14ac:dyDescent="0.15">
      <c r="A461" s="489" t="s">
        <v>2178</v>
      </c>
      <c r="B461" s="490">
        <v>42547</v>
      </c>
      <c r="C461" s="491" t="s">
        <v>4815</v>
      </c>
      <c r="D461" s="492">
        <v>3</v>
      </c>
      <c r="E461" s="491"/>
      <c r="F461" s="493">
        <v>4.1724537037037034E-4</v>
      </c>
      <c r="G461" s="491"/>
      <c r="H461" s="491"/>
      <c r="I461" s="494" t="s">
        <v>3273</v>
      </c>
      <c r="J461" s="495" t="s">
        <v>5128</v>
      </c>
    </row>
    <row r="462" spans="1:10" s="251" customFormat="1" ht="12" customHeight="1" x14ac:dyDescent="0.15">
      <c r="A462" s="489" t="s">
        <v>3339</v>
      </c>
      <c r="B462" s="490">
        <v>42543</v>
      </c>
      <c r="C462" s="491" t="s">
        <v>1950</v>
      </c>
      <c r="D462" s="492">
        <v>5</v>
      </c>
      <c r="E462" s="491" t="s">
        <v>3500</v>
      </c>
      <c r="F462" s="493">
        <v>7.3101851851851843E-4</v>
      </c>
      <c r="G462" s="491"/>
      <c r="H462" s="491"/>
      <c r="I462" s="494" t="s">
        <v>5096</v>
      </c>
      <c r="J462" s="495"/>
    </row>
    <row r="463" spans="1:10" s="251" customFormat="1" ht="12" customHeight="1" x14ac:dyDescent="0.15">
      <c r="A463" s="489" t="s">
        <v>1710</v>
      </c>
      <c r="B463" s="490">
        <v>42543</v>
      </c>
      <c r="C463" s="491" t="s">
        <v>4660</v>
      </c>
      <c r="D463" s="492">
        <v>3</v>
      </c>
      <c r="E463" s="491" t="s">
        <v>3500</v>
      </c>
      <c r="F463" s="493">
        <v>4.5601851851851852E-4</v>
      </c>
      <c r="G463" s="491"/>
      <c r="H463" s="491"/>
      <c r="I463" s="494" t="s">
        <v>4638</v>
      </c>
      <c r="J463" s="495"/>
    </row>
    <row r="464" spans="1:10" s="251" customFormat="1" ht="12" customHeight="1" x14ac:dyDescent="0.15">
      <c r="A464" s="489" t="s">
        <v>2157</v>
      </c>
      <c r="B464" s="490">
        <v>42544</v>
      </c>
      <c r="C464" s="491" t="s">
        <v>4778</v>
      </c>
      <c r="D464" s="492">
        <v>5</v>
      </c>
      <c r="E464" s="491" t="s">
        <v>3500</v>
      </c>
      <c r="F464" s="493">
        <v>7.1527777777777779E-4</v>
      </c>
      <c r="G464" s="491"/>
      <c r="H464" s="491"/>
      <c r="I464" s="494" t="s">
        <v>4626</v>
      </c>
      <c r="J464" s="495"/>
    </row>
    <row r="465" spans="1:10" s="251" customFormat="1" ht="12" customHeight="1" x14ac:dyDescent="0.15">
      <c r="A465" s="489" t="s">
        <v>33</v>
      </c>
      <c r="B465" s="490">
        <v>42546</v>
      </c>
      <c r="C465" s="491" t="s">
        <v>3212</v>
      </c>
      <c r="D465" s="492">
        <v>3</v>
      </c>
      <c r="E465" s="491"/>
      <c r="F465" s="493"/>
      <c r="G465" s="491"/>
      <c r="H465" s="491"/>
      <c r="I465" s="494" t="s">
        <v>4681</v>
      </c>
      <c r="J465" s="495"/>
    </row>
    <row r="466" spans="1:10" s="597" customFormat="1" ht="12" customHeight="1" x14ac:dyDescent="0.15">
      <c r="A466" s="590" t="s">
        <v>3099</v>
      </c>
      <c r="B466" s="591">
        <v>42546</v>
      </c>
      <c r="C466" s="592" t="s">
        <v>2293</v>
      </c>
      <c r="D466" s="593">
        <v>5</v>
      </c>
      <c r="E466" s="592"/>
      <c r="F466" s="594"/>
      <c r="G466" s="592"/>
      <c r="H466" s="592"/>
      <c r="I466" s="595" t="s">
        <v>5123</v>
      </c>
      <c r="J466" s="596"/>
    </row>
    <row r="467" spans="1:10" s="251" customFormat="1" ht="12" customHeight="1" x14ac:dyDescent="0.15">
      <c r="A467" s="489" t="s">
        <v>2475</v>
      </c>
      <c r="B467" s="490">
        <v>42546</v>
      </c>
      <c r="C467" s="491" t="s">
        <v>2293</v>
      </c>
      <c r="D467" s="492">
        <v>4</v>
      </c>
      <c r="E467" s="491"/>
      <c r="F467" s="493"/>
      <c r="G467" s="491"/>
      <c r="H467" s="491"/>
      <c r="I467" s="494" t="s">
        <v>5124</v>
      </c>
      <c r="J467" s="495"/>
    </row>
    <row r="468" spans="1:10" s="251" customFormat="1" ht="12" customHeight="1" x14ac:dyDescent="0.15">
      <c r="A468" s="489" t="s">
        <v>2478</v>
      </c>
      <c r="B468" s="490">
        <v>42545</v>
      </c>
      <c r="C468" s="491" t="s">
        <v>3200</v>
      </c>
      <c r="D468" s="492">
        <v>4</v>
      </c>
      <c r="E468" s="491"/>
      <c r="F468" s="493"/>
      <c r="G468" s="491"/>
      <c r="H468" s="491"/>
      <c r="I468" s="494" t="s">
        <v>5125</v>
      </c>
      <c r="J468" s="495"/>
    </row>
    <row r="469" spans="1:10" s="251" customFormat="1" ht="12" customHeight="1" x14ac:dyDescent="0.15">
      <c r="A469" s="489" t="s">
        <v>1943</v>
      </c>
      <c r="B469" s="490">
        <v>42546</v>
      </c>
      <c r="C469" s="491" t="s">
        <v>4715</v>
      </c>
      <c r="D469" s="492">
        <v>4</v>
      </c>
      <c r="E469" s="491"/>
      <c r="F469" s="493"/>
      <c r="G469" s="491"/>
      <c r="H469" s="491"/>
      <c r="I469" s="494" t="s">
        <v>5126</v>
      </c>
      <c r="J469" s="495"/>
    </row>
    <row r="470" spans="1:10" s="251" customFormat="1" ht="12" customHeight="1" thickBot="1" x14ac:dyDescent="0.2">
      <c r="A470" s="489" t="s">
        <v>3154</v>
      </c>
      <c r="B470" s="490">
        <v>42547</v>
      </c>
      <c r="C470" s="491" t="s">
        <v>1950</v>
      </c>
      <c r="D470" s="492">
        <v>4</v>
      </c>
      <c r="E470" s="491"/>
      <c r="F470" s="493"/>
      <c r="G470" s="491"/>
      <c r="H470" s="491"/>
      <c r="I470" s="491" t="s">
        <v>4232</v>
      </c>
      <c r="J470" s="495"/>
    </row>
    <row r="471" spans="1:10" s="251" customFormat="1" ht="12" customHeight="1" x14ac:dyDescent="0.15">
      <c r="A471" s="540" t="s">
        <v>2480</v>
      </c>
      <c r="B471" s="253">
        <v>42549</v>
      </c>
      <c r="C471" s="254" t="s">
        <v>1948</v>
      </c>
      <c r="D471" s="255">
        <v>3</v>
      </c>
      <c r="E471" s="342" t="s">
        <v>3500</v>
      </c>
      <c r="F471" s="256">
        <v>4.2847222222222229E-4</v>
      </c>
      <c r="G471" s="254"/>
      <c r="H471" s="254"/>
      <c r="I471" s="257" t="s">
        <v>4263</v>
      </c>
      <c r="J471" s="258"/>
    </row>
    <row r="472" spans="1:10" s="251" customFormat="1" ht="12" customHeight="1" x14ac:dyDescent="0.15">
      <c r="A472" s="599" t="s">
        <v>3427</v>
      </c>
      <c r="B472" s="568">
        <v>42553</v>
      </c>
      <c r="C472" s="569" t="s">
        <v>3193</v>
      </c>
      <c r="D472" s="570">
        <v>3</v>
      </c>
      <c r="E472" s="600" t="s">
        <v>3500</v>
      </c>
      <c r="F472" s="571">
        <v>4.3981481481481481E-4</v>
      </c>
      <c r="G472" s="569"/>
      <c r="H472" s="569"/>
      <c r="I472" s="572" t="s">
        <v>5156</v>
      </c>
      <c r="J472" s="573" t="s">
        <v>5157</v>
      </c>
    </row>
    <row r="473" spans="1:10" s="597" customFormat="1" ht="12" customHeight="1" x14ac:dyDescent="0.15">
      <c r="A473" s="590" t="s">
        <v>2484</v>
      </c>
      <c r="B473" s="591">
        <v>42549</v>
      </c>
      <c r="C473" s="592" t="s">
        <v>2293</v>
      </c>
      <c r="D473" s="593">
        <v>4</v>
      </c>
      <c r="E473" s="592" t="s">
        <v>3500</v>
      </c>
      <c r="F473" s="594">
        <v>5.7638888888888887E-4</v>
      </c>
      <c r="G473" s="592"/>
      <c r="H473" s="592"/>
      <c r="I473" s="595" t="s">
        <v>4289</v>
      </c>
      <c r="J473" s="596" t="s">
        <v>5143</v>
      </c>
    </row>
    <row r="474" spans="1:10" s="597" customFormat="1" ht="12" customHeight="1" x14ac:dyDescent="0.15">
      <c r="A474" s="590" t="s">
        <v>3996</v>
      </c>
      <c r="B474" s="591">
        <v>42553</v>
      </c>
      <c r="C474" s="592" t="s">
        <v>3193</v>
      </c>
      <c r="D474" s="593">
        <v>3</v>
      </c>
      <c r="E474" s="592" t="s">
        <v>3500</v>
      </c>
      <c r="F474" s="594">
        <v>4.3981481481481481E-4</v>
      </c>
      <c r="G474" s="592"/>
      <c r="H474" s="592"/>
      <c r="I474" s="595" t="s">
        <v>5156</v>
      </c>
      <c r="J474" s="596" t="s">
        <v>5143</v>
      </c>
    </row>
    <row r="475" spans="1:10" s="597" customFormat="1" ht="12" customHeight="1" x14ac:dyDescent="0.15">
      <c r="A475" s="590" t="s">
        <v>3236</v>
      </c>
      <c r="B475" s="591">
        <v>42554</v>
      </c>
      <c r="C475" s="592" t="s">
        <v>2293</v>
      </c>
      <c r="D475" s="593">
        <v>3</v>
      </c>
      <c r="E475" s="592" t="s">
        <v>3500</v>
      </c>
      <c r="F475" s="594">
        <v>4.3981481481481481E-4</v>
      </c>
      <c r="G475" s="592"/>
      <c r="H475" s="592"/>
      <c r="I475" s="595" t="s">
        <v>4439</v>
      </c>
      <c r="J475" s="596" t="s">
        <v>5143</v>
      </c>
    </row>
    <row r="476" spans="1:10" s="597" customFormat="1" ht="12" customHeight="1" x14ac:dyDescent="0.15">
      <c r="A476" s="590" t="s">
        <v>2469</v>
      </c>
      <c r="B476" s="591">
        <v>42554</v>
      </c>
      <c r="C476" s="592" t="s">
        <v>5169</v>
      </c>
      <c r="D476" s="593">
        <v>3</v>
      </c>
      <c r="E476" s="592" t="s">
        <v>3500</v>
      </c>
      <c r="F476" s="594">
        <v>4.4097222222222221E-4</v>
      </c>
      <c r="G476" s="592"/>
      <c r="H476" s="592"/>
      <c r="I476" s="595" t="s">
        <v>4436</v>
      </c>
      <c r="J476" s="596" t="s">
        <v>5143</v>
      </c>
    </row>
    <row r="477" spans="1:10" s="597" customFormat="1" ht="12" customHeight="1" x14ac:dyDescent="0.15">
      <c r="A477" s="590" t="s">
        <v>3211</v>
      </c>
      <c r="B477" s="591">
        <v>42549</v>
      </c>
      <c r="C477" s="592" t="s">
        <v>5141</v>
      </c>
      <c r="D477" s="593">
        <v>3</v>
      </c>
      <c r="E477" s="592" t="s">
        <v>3500</v>
      </c>
      <c r="F477" s="594">
        <v>4.2824074074074075E-4</v>
      </c>
      <c r="G477" s="592"/>
      <c r="H477" s="592"/>
      <c r="I477" s="595" t="s">
        <v>964</v>
      </c>
      <c r="J477" s="596" t="s">
        <v>5142</v>
      </c>
    </row>
    <row r="478" spans="1:10" s="252" customFormat="1" ht="12" customHeight="1" x14ac:dyDescent="0.15">
      <c r="A478" s="496" t="s">
        <v>3176</v>
      </c>
      <c r="B478" s="497">
        <v>42550</v>
      </c>
      <c r="C478" s="498" t="s">
        <v>2315</v>
      </c>
      <c r="D478" s="499">
        <v>3</v>
      </c>
      <c r="E478" s="498" t="s">
        <v>3500</v>
      </c>
      <c r="F478" s="500">
        <v>4.2569444444444447E-4</v>
      </c>
      <c r="G478" s="498"/>
      <c r="H478" s="498" t="s">
        <v>1249</v>
      </c>
      <c r="I478" s="501" t="s">
        <v>3977</v>
      </c>
      <c r="J478" s="502" t="s">
        <v>5151</v>
      </c>
    </row>
    <row r="479" spans="1:10" s="252" customFormat="1" ht="12" customHeight="1" x14ac:dyDescent="0.15">
      <c r="A479" s="496" t="s">
        <v>122</v>
      </c>
      <c r="B479" s="497">
        <v>42550</v>
      </c>
      <c r="C479" s="498" t="s">
        <v>4748</v>
      </c>
      <c r="D479" s="499">
        <v>5</v>
      </c>
      <c r="E479" s="498" t="s">
        <v>3500</v>
      </c>
      <c r="F479" s="500">
        <v>6.9444444444444447E-4</v>
      </c>
      <c r="G479" s="498"/>
      <c r="H479" s="498"/>
      <c r="I479" s="501" t="s">
        <v>4239</v>
      </c>
      <c r="J479" s="502"/>
    </row>
    <row r="480" spans="1:10" s="252" customFormat="1" ht="12" customHeight="1" x14ac:dyDescent="0.15">
      <c r="A480" s="496" t="s">
        <v>2143</v>
      </c>
      <c r="B480" s="497">
        <v>42553</v>
      </c>
      <c r="C480" s="498" t="s">
        <v>2315</v>
      </c>
      <c r="D480" s="499">
        <v>5</v>
      </c>
      <c r="E480" s="498" t="s">
        <v>3500</v>
      </c>
      <c r="F480" s="500">
        <v>7.0185185185185183E-4</v>
      </c>
      <c r="G480" s="498"/>
      <c r="H480" s="498"/>
      <c r="I480" s="501" t="s">
        <v>4399</v>
      </c>
      <c r="J480" s="502" t="s">
        <v>5160</v>
      </c>
    </row>
    <row r="481" spans="1:10" s="252" customFormat="1" ht="12" customHeight="1" x14ac:dyDescent="0.15">
      <c r="A481" s="496" t="s">
        <v>3266</v>
      </c>
      <c r="B481" s="497">
        <v>42553</v>
      </c>
      <c r="C481" s="498" t="s">
        <v>1950</v>
      </c>
      <c r="D481" s="499">
        <v>4</v>
      </c>
      <c r="E481" s="498" t="s">
        <v>3500</v>
      </c>
      <c r="F481" s="500">
        <v>5.4456018518518514E-4</v>
      </c>
      <c r="G481" s="498" t="s">
        <v>961</v>
      </c>
      <c r="H481" s="498"/>
      <c r="I481" s="501" t="s">
        <v>4399</v>
      </c>
      <c r="J481" s="502"/>
    </row>
    <row r="482" spans="1:10" s="252" customFormat="1" ht="12" customHeight="1" x14ac:dyDescent="0.15">
      <c r="A482" s="496" t="s">
        <v>3154</v>
      </c>
      <c r="B482" s="497">
        <v>42554</v>
      </c>
      <c r="C482" s="498" t="s">
        <v>1950</v>
      </c>
      <c r="D482" s="499">
        <v>4</v>
      </c>
      <c r="E482" s="498" t="s">
        <v>3500</v>
      </c>
      <c r="F482" s="500">
        <v>5.3877314814814814E-4</v>
      </c>
      <c r="G482" s="498"/>
      <c r="H482" s="498"/>
      <c r="I482" s="501" t="s">
        <v>4399</v>
      </c>
      <c r="J482" s="502"/>
    </row>
    <row r="483" spans="1:10" s="597" customFormat="1" ht="12" customHeight="1" x14ac:dyDescent="0.15">
      <c r="A483" s="590" t="s">
        <v>3607</v>
      </c>
      <c r="B483" s="591">
        <v>42550</v>
      </c>
      <c r="C483" s="592" t="s">
        <v>1950</v>
      </c>
      <c r="D483" s="593">
        <v>4</v>
      </c>
      <c r="E483" s="592" t="s">
        <v>3500</v>
      </c>
      <c r="F483" s="594">
        <v>5.5729166666666666E-4</v>
      </c>
      <c r="G483" s="592"/>
      <c r="H483" s="592" t="s">
        <v>1249</v>
      </c>
      <c r="I483" s="595" t="s">
        <v>5152</v>
      </c>
      <c r="J483" s="596" t="s">
        <v>5153</v>
      </c>
    </row>
    <row r="484" spans="1:10" s="251" customFormat="1" ht="12" customHeight="1" x14ac:dyDescent="0.15">
      <c r="A484" s="489" t="s">
        <v>3355</v>
      </c>
      <c r="B484" s="490">
        <v>42550</v>
      </c>
      <c r="C484" s="491" t="s">
        <v>1950</v>
      </c>
      <c r="D484" s="492">
        <v>3</v>
      </c>
      <c r="E484" s="491" t="s">
        <v>3500</v>
      </c>
      <c r="F484" s="493">
        <v>7.4189814814814813E-5</v>
      </c>
      <c r="G484" s="491"/>
      <c r="H484" s="491"/>
      <c r="I484" s="494" t="s">
        <v>4144</v>
      </c>
      <c r="J484" s="495" t="s">
        <v>5154</v>
      </c>
    </row>
    <row r="485" spans="1:10" s="251" customFormat="1" ht="12" customHeight="1" x14ac:dyDescent="0.15">
      <c r="A485" s="489" t="s">
        <v>4396</v>
      </c>
      <c r="B485" s="490">
        <v>42552</v>
      </c>
      <c r="C485" s="491" t="s">
        <v>2315</v>
      </c>
      <c r="D485" s="492">
        <v>5</v>
      </c>
      <c r="E485" s="491" t="s">
        <v>3501</v>
      </c>
      <c r="F485" s="493">
        <v>7.2037037037037046E-4</v>
      </c>
      <c r="G485" s="491"/>
      <c r="H485" s="491"/>
      <c r="I485" s="494" t="s">
        <v>1210</v>
      </c>
      <c r="J485" s="495" t="s">
        <v>5161</v>
      </c>
    </row>
    <row r="486" spans="1:10" s="251" customFormat="1" ht="12" customHeight="1" x14ac:dyDescent="0.15">
      <c r="A486" s="489" t="s">
        <v>5068</v>
      </c>
      <c r="B486" s="490">
        <v>42553</v>
      </c>
      <c r="C486" s="491" t="s">
        <v>5069</v>
      </c>
      <c r="D486" s="492">
        <v>4</v>
      </c>
      <c r="E486" s="491" t="s">
        <v>3500</v>
      </c>
      <c r="F486" s="493">
        <v>5.5092592592592595E-4</v>
      </c>
      <c r="G486" s="491"/>
      <c r="H486" s="491"/>
      <c r="I486" s="494" t="s">
        <v>5163</v>
      </c>
      <c r="J486" s="495" t="s">
        <v>5164</v>
      </c>
    </row>
    <row r="487" spans="1:10" s="251" customFormat="1" ht="12" customHeight="1" x14ac:dyDescent="0.15">
      <c r="A487" s="489" t="s">
        <v>54</v>
      </c>
      <c r="B487" s="490">
        <v>42551</v>
      </c>
      <c r="C487" s="491" t="s">
        <v>4990</v>
      </c>
      <c r="D487" s="492">
        <v>4</v>
      </c>
      <c r="E487" s="491" t="s">
        <v>3500</v>
      </c>
      <c r="F487" s="493">
        <v>5.8564814814814818E-4</v>
      </c>
      <c r="G487" s="491"/>
      <c r="H487" s="491"/>
      <c r="I487" s="494" t="s">
        <v>4284</v>
      </c>
      <c r="J487" s="495"/>
    </row>
    <row r="488" spans="1:10" s="251" customFormat="1" ht="12" customHeight="1" x14ac:dyDescent="0.15">
      <c r="A488" s="489" t="s">
        <v>2127</v>
      </c>
      <c r="B488" s="490">
        <v>42553</v>
      </c>
      <c r="C488" s="491" t="s">
        <v>3193</v>
      </c>
      <c r="D488" s="492">
        <v>4</v>
      </c>
      <c r="E488" s="491" t="s">
        <v>3500</v>
      </c>
      <c r="F488" s="493">
        <v>5.6250000000000007E-4</v>
      </c>
      <c r="G488" s="491"/>
      <c r="H488" s="491"/>
      <c r="I488" s="494" t="s">
        <v>5158</v>
      </c>
      <c r="J488" s="495"/>
    </row>
    <row r="489" spans="1:10" s="251" customFormat="1" ht="12" customHeight="1" x14ac:dyDescent="0.15">
      <c r="A489" s="489" t="s">
        <v>57</v>
      </c>
      <c r="B489" s="490">
        <v>42553</v>
      </c>
      <c r="C489" s="491" t="s">
        <v>2293</v>
      </c>
      <c r="D489" s="492">
        <v>3</v>
      </c>
      <c r="E489" s="491" t="s">
        <v>3500</v>
      </c>
      <c r="F489" s="493">
        <v>4.2824074074074075E-4</v>
      </c>
      <c r="G489" s="491"/>
      <c r="H489" s="491"/>
      <c r="I489" s="494" t="s">
        <v>3974</v>
      </c>
      <c r="J489" s="495"/>
    </row>
    <row r="490" spans="1:10" s="597" customFormat="1" ht="12" customHeight="1" x14ac:dyDescent="0.15">
      <c r="A490" s="590" t="s">
        <v>3099</v>
      </c>
      <c r="B490" s="591">
        <v>42552</v>
      </c>
      <c r="C490" s="592" t="s">
        <v>2293</v>
      </c>
      <c r="D490" s="593">
        <v>5</v>
      </c>
      <c r="E490" s="592" t="s">
        <v>3500</v>
      </c>
      <c r="F490" s="594">
        <v>7.1990740740740739E-4</v>
      </c>
      <c r="G490" s="592"/>
      <c r="H490" s="592"/>
      <c r="I490" s="595" t="s">
        <v>5162</v>
      </c>
      <c r="J490" s="596"/>
    </row>
    <row r="491" spans="1:10" s="251" customFormat="1" ht="12" customHeight="1" thickBot="1" x14ac:dyDescent="0.2">
      <c r="A491" s="489" t="s">
        <v>3339</v>
      </c>
      <c r="B491" s="490">
        <v>42553</v>
      </c>
      <c r="C491" s="491" t="s">
        <v>1950</v>
      </c>
      <c r="D491" s="492">
        <v>5</v>
      </c>
      <c r="E491" s="491" t="s">
        <v>3500</v>
      </c>
      <c r="F491" s="493">
        <v>7.0254629629629627E-4</v>
      </c>
      <c r="G491" s="491" t="s">
        <v>961</v>
      </c>
      <c r="H491" s="491"/>
      <c r="I491" s="491" t="s">
        <v>4284</v>
      </c>
      <c r="J491" s="495"/>
    </row>
    <row r="492" spans="1:10" s="251" customFormat="1" ht="12" customHeight="1" x14ac:dyDescent="0.15">
      <c r="A492" s="540" t="s">
        <v>2278</v>
      </c>
      <c r="B492" s="253">
        <v>42557</v>
      </c>
      <c r="C492" s="254" t="s">
        <v>4815</v>
      </c>
      <c r="D492" s="255">
        <v>5</v>
      </c>
      <c r="E492" s="342" t="s">
        <v>3500</v>
      </c>
      <c r="F492" s="256">
        <v>7.3726851851851861E-4</v>
      </c>
      <c r="G492" s="254"/>
      <c r="H492" s="254"/>
      <c r="I492" s="257" t="s">
        <v>5067</v>
      </c>
      <c r="J492" s="258"/>
    </row>
    <row r="493" spans="1:10" s="597" customFormat="1" ht="12" customHeight="1" x14ac:dyDescent="0.15">
      <c r="A493" s="590" t="s">
        <v>3607</v>
      </c>
      <c r="B493" s="591">
        <v>42557</v>
      </c>
      <c r="C493" s="592" t="s">
        <v>1950</v>
      </c>
      <c r="D493" s="593"/>
      <c r="E493" s="592" t="s">
        <v>3500</v>
      </c>
      <c r="F493" s="594"/>
      <c r="G493" s="592"/>
      <c r="H493" s="592"/>
      <c r="I493" s="595" t="s">
        <v>5192</v>
      </c>
      <c r="J493" s="596"/>
    </row>
    <row r="494" spans="1:10" s="597" customFormat="1" ht="12" customHeight="1" x14ac:dyDescent="0.15">
      <c r="A494" s="590" t="s">
        <v>3629</v>
      </c>
      <c r="B494" s="591">
        <v>42557</v>
      </c>
      <c r="C494" s="592" t="s">
        <v>1950</v>
      </c>
      <c r="D494" s="593"/>
      <c r="E494" s="592" t="s">
        <v>3500</v>
      </c>
      <c r="F494" s="594"/>
      <c r="G494" s="592"/>
      <c r="H494" s="592"/>
      <c r="I494" s="595" t="s">
        <v>5193</v>
      </c>
      <c r="J494" s="596" t="s">
        <v>5143</v>
      </c>
    </row>
    <row r="495" spans="1:10" s="251" customFormat="1" ht="12" customHeight="1" x14ac:dyDescent="0.15">
      <c r="A495" s="489" t="s">
        <v>1295</v>
      </c>
      <c r="B495" s="490">
        <v>42556</v>
      </c>
      <c r="C495" s="491" t="s">
        <v>5189</v>
      </c>
      <c r="D495" s="492">
        <v>4</v>
      </c>
      <c r="E495" s="491" t="s">
        <v>3500</v>
      </c>
      <c r="F495" s="493">
        <v>5.5787037037037036E-4</v>
      </c>
      <c r="G495" s="491"/>
      <c r="H495" s="491"/>
      <c r="I495" s="494" t="s">
        <v>4144</v>
      </c>
      <c r="J495" s="495" t="s">
        <v>2383</v>
      </c>
    </row>
    <row r="496" spans="1:10" s="251" customFormat="1" ht="12" customHeight="1" x14ac:dyDescent="0.15">
      <c r="A496" s="567" t="s">
        <v>54</v>
      </c>
      <c r="B496" s="568">
        <v>42560</v>
      </c>
      <c r="C496" s="569" t="s">
        <v>4990</v>
      </c>
      <c r="D496" s="570">
        <v>4</v>
      </c>
      <c r="E496" s="569" t="s">
        <v>3500</v>
      </c>
      <c r="F496" s="571">
        <v>5.5092592592592595E-4</v>
      </c>
      <c r="G496" s="569"/>
      <c r="H496" s="569"/>
      <c r="I496" s="572" t="s">
        <v>5201</v>
      </c>
      <c r="J496" s="573" t="s">
        <v>4933</v>
      </c>
    </row>
    <row r="497" spans="1:10" s="251" customFormat="1" ht="12" customHeight="1" x14ac:dyDescent="0.15">
      <c r="A497" s="489" t="s">
        <v>2176</v>
      </c>
      <c r="B497" s="490">
        <v>42560</v>
      </c>
      <c r="C497" s="491" t="s">
        <v>2315</v>
      </c>
      <c r="D497" s="492">
        <v>5</v>
      </c>
      <c r="E497" s="491" t="s">
        <v>3501</v>
      </c>
      <c r="F497" s="493">
        <v>7.1203703703703707E-4</v>
      </c>
      <c r="G497" s="491"/>
      <c r="H497" s="491"/>
      <c r="I497" s="494" t="s">
        <v>4144</v>
      </c>
      <c r="J497" s="495" t="s">
        <v>2383</v>
      </c>
    </row>
    <row r="498" spans="1:10" s="251" customFormat="1" ht="12" customHeight="1" x14ac:dyDescent="0.15">
      <c r="A498" s="567" t="s">
        <v>3355</v>
      </c>
      <c r="B498" s="568">
        <v>42557</v>
      </c>
      <c r="C498" s="569" t="s">
        <v>1950</v>
      </c>
      <c r="D498" s="570">
        <v>3</v>
      </c>
      <c r="E498" s="569" t="s">
        <v>3500</v>
      </c>
      <c r="F498" s="571">
        <v>4.164351851851851E-4</v>
      </c>
      <c r="G498" s="569"/>
      <c r="H498" s="569"/>
      <c r="I498" s="572" t="s">
        <v>3224</v>
      </c>
      <c r="J498" s="573" t="s">
        <v>5194</v>
      </c>
    </row>
    <row r="499" spans="1:10" s="597" customFormat="1" ht="12" customHeight="1" x14ac:dyDescent="0.15">
      <c r="A499" s="590" t="s">
        <v>2469</v>
      </c>
      <c r="B499" s="591">
        <v>42560</v>
      </c>
      <c r="C499" s="592" t="s">
        <v>5169</v>
      </c>
      <c r="D499" s="593">
        <v>3</v>
      </c>
      <c r="E499" s="592" t="s">
        <v>3500</v>
      </c>
      <c r="F499" s="594">
        <v>4.4907407407407401E-4</v>
      </c>
      <c r="G499" s="592"/>
      <c r="H499" s="592"/>
      <c r="I499" s="595" t="s">
        <v>3981</v>
      </c>
      <c r="J499" s="596"/>
    </row>
    <row r="500" spans="1:10" s="597" customFormat="1" ht="12" customHeight="1" x14ac:dyDescent="0.15">
      <c r="A500" s="590" t="s">
        <v>2484</v>
      </c>
      <c r="B500" s="591">
        <v>42560</v>
      </c>
      <c r="C500" s="592" t="s">
        <v>2293</v>
      </c>
      <c r="D500" s="593">
        <v>5</v>
      </c>
      <c r="E500" s="592" t="s">
        <v>3500</v>
      </c>
      <c r="F500" s="594">
        <v>7.361111111111111E-4</v>
      </c>
      <c r="G500" s="592"/>
      <c r="H500" s="592"/>
      <c r="I500" s="595" t="s">
        <v>4603</v>
      </c>
      <c r="J500" s="596"/>
    </row>
    <row r="501" spans="1:10" s="597" customFormat="1" ht="12" customHeight="1" x14ac:dyDescent="0.15">
      <c r="A501" s="590" t="s">
        <v>3427</v>
      </c>
      <c r="B501" s="591">
        <v>42560</v>
      </c>
      <c r="C501" s="592" t="s">
        <v>3193</v>
      </c>
      <c r="D501" s="593">
        <v>3</v>
      </c>
      <c r="E501" s="592" t="s">
        <v>3500</v>
      </c>
      <c r="F501" s="594">
        <v>4.3981481481481481E-4</v>
      </c>
      <c r="G501" s="592"/>
      <c r="H501" s="592"/>
      <c r="I501" s="595" t="s">
        <v>5202</v>
      </c>
      <c r="J501" s="596"/>
    </row>
    <row r="502" spans="1:10" s="597" customFormat="1" ht="12" customHeight="1" x14ac:dyDescent="0.15">
      <c r="A502" s="590" t="s">
        <v>3996</v>
      </c>
      <c r="B502" s="591">
        <v>42560</v>
      </c>
      <c r="C502" s="592" t="s">
        <v>3193</v>
      </c>
      <c r="D502" s="593">
        <v>3</v>
      </c>
      <c r="E502" s="592" t="s">
        <v>3500</v>
      </c>
      <c r="F502" s="594">
        <v>4.5138888888888892E-4</v>
      </c>
      <c r="G502" s="592"/>
      <c r="H502" s="592"/>
      <c r="I502" s="595" t="s">
        <v>5203</v>
      </c>
      <c r="J502" s="596"/>
    </row>
    <row r="503" spans="1:10" s="251" customFormat="1" ht="12" customHeight="1" x14ac:dyDescent="0.15">
      <c r="A503" s="489" t="s">
        <v>21</v>
      </c>
      <c r="B503" s="490">
        <v>42560</v>
      </c>
      <c r="C503" s="491" t="s">
        <v>4619</v>
      </c>
      <c r="D503" s="492">
        <v>4</v>
      </c>
      <c r="E503" s="491" t="s">
        <v>3500</v>
      </c>
      <c r="F503" s="493">
        <v>5.7175925925925927E-4</v>
      </c>
      <c r="G503" s="491"/>
      <c r="H503" s="491"/>
      <c r="I503" s="494" t="s">
        <v>5206</v>
      </c>
      <c r="J503" s="495"/>
    </row>
    <row r="504" spans="1:10" s="251" customFormat="1" ht="12" customHeight="1" x14ac:dyDescent="0.15">
      <c r="A504" s="489" t="s">
        <v>121</v>
      </c>
      <c r="B504" s="490">
        <v>42559</v>
      </c>
      <c r="C504" s="491" t="s">
        <v>4748</v>
      </c>
      <c r="D504" s="492">
        <v>4</v>
      </c>
      <c r="E504" s="491" t="s">
        <v>3500</v>
      </c>
      <c r="F504" s="493">
        <v>5.6712962962962956E-4</v>
      </c>
      <c r="G504" s="491"/>
      <c r="H504" s="491"/>
      <c r="I504" s="494" t="s">
        <v>4927</v>
      </c>
      <c r="J504" s="495"/>
    </row>
    <row r="505" spans="1:10" s="251" customFormat="1" ht="12" customHeight="1" x14ac:dyDescent="0.15">
      <c r="A505" s="489" t="s">
        <v>3430</v>
      </c>
      <c r="B505" s="490">
        <v>42560</v>
      </c>
      <c r="C505" s="491" t="s">
        <v>1035</v>
      </c>
      <c r="D505" s="492">
        <v>4</v>
      </c>
      <c r="E505" s="491" t="s">
        <v>3500</v>
      </c>
      <c r="F505" s="493">
        <v>6.2962962962962961E-4</v>
      </c>
      <c r="G505" s="491"/>
      <c r="H505" s="491"/>
      <c r="I505" s="494" t="s">
        <v>5208</v>
      </c>
      <c r="J505" s="495"/>
    </row>
    <row r="506" spans="1:10" s="251" customFormat="1" ht="12" customHeight="1" x14ac:dyDescent="0.15">
      <c r="A506" s="489" t="s">
        <v>2155</v>
      </c>
      <c r="B506" s="490">
        <v>42560</v>
      </c>
      <c r="C506" s="491" t="s">
        <v>2293</v>
      </c>
      <c r="D506" s="492">
        <v>4</v>
      </c>
      <c r="E506" s="491" t="s">
        <v>3500</v>
      </c>
      <c r="F506" s="493">
        <v>5.9027777777777778E-4</v>
      </c>
      <c r="G506" s="491"/>
      <c r="H506" s="491"/>
      <c r="I506" s="494" t="s">
        <v>5214</v>
      </c>
      <c r="J506" s="495"/>
    </row>
    <row r="507" spans="1:10" s="251" customFormat="1" ht="12" customHeight="1" thickBot="1" x14ac:dyDescent="0.2">
      <c r="A507" s="489" t="s">
        <v>2157</v>
      </c>
      <c r="B507" s="490">
        <v>42561</v>
      </c>
      <c r="C507" s="491" t="s">
        <v>4778</v>
      </c>
      <c r="D507" s="492"/>
      <c r="E507" s="491"/>
      <c r="F507" s="493"/>
      <c r="G507" s="491"/>
      <c r="H507" s="491"/>
      <c r="I507" s="503" t="s">
        <v>4919</v>
      </c>
      <c r="J507" s="495"/>
    </row>
    <row r="508" spans="1:10" s="251" customFormat="1" ht="12" customHeight="1" x14ac:dyDescent="0.15">
      <c r="A508" s="540" t="s">
        <v>1295</v>
      </c>
      <c r="B508" s="253">
        <v>42563</v>
      </c>
      <c r="C508" s="254" t="s">
        <v>3286</v>
      </c>
      <c r="D508" s="255">
        <v>5</v>
      </c>
      <c r="E508" s="342" t="s">
        <v>3500</v>
      </c>
      <c r="F508" s="256">
        <v>7.0601851851851847E-4</v>
      </c>
      <c r="G508" s="254"/>
      <c r="H508" s="254"/>
      <c r="I508" s="257" t="s">
        <v>964</v>
      </c>
      <c r="J508" s="258" t="s">
        <v>5236</v>
      </c>
    </row>
    <row r="509" spans="1:10" s="597" customFormat="1" ht="12" customHeight="1" x14ac:dyDescent="0.15">
      <c r="A509" s="590" t="s">
        <v>3795</v>
      </c>
      <c r="B509" s="591">
        <v>42565</v>
      </c>
      <c r="C509" s="592" t="s">
        <v>5270</v>
      </c>
      <c r="D509" s="593">
        <v>3</v>
      </c>
      <c r="E509" s="592" t="s">
        <v>3500</v>
      </c>
      <c r="F509" s="594">
        <v>4.3402777777777775E-4</v>
      </c>
      <c r="G509" s="592"/>
      <c r="H509" s="592"/>
      <c r="I509" s="595" t="s">
        <v>4395</v>
      </c>
      <c r="J509" s="596" t="s">
        <v>2428</v>
      </c>
    </row>
    <row r="510" spans="1:10" s="597" customFormat="1" ht="12" customHeight="1" x14ac:dyDescent="0.15">
      <c r="A510" s="590" t="s">
        <v>3606</v>
      </c>
      <c r="B510" s="591">
        <v>42567</v>
      </c>
      <c r="C510" s="592" t="s">
        <v>1950</v>
      </c>
      <c r="D510" s="593">
        <v>4</v>
      </c>
      <c r="E510" s="592" t="s">
        <v>3500</v>
      </c>
      <c r="F510" s="594">
        <v>5.6400462962962958E-4</v>
      </c>
      <c r="G510" s="592"/>
      <c r="H510" s="592"/>
      <c r="I510" s="595" t="s">
        <v>4401</v>
      </c>
      <c r="J510" s="596" t="s">
        <v>2428</v>
      </c>
    </row>
    <row r="511" spans="1:10" s="597" customFormat="1" ht="12" customHeight="1" x14ac:dyDescent="0.15">
      <c r="A511" s="590" t="s">
        <v>2487</v>
      </c>
      <c r="B511" s="591">
        <v>42565</v>
      </c>
      <c r="C511" s="592" t="s">
        <v>4748</v>
      </c>
      <c r="D511" s="593">
        <v>3</v>
      </c>
      <c r="E511" s="592" t="s">
        <v>3500</v>
      </c>
      <c r="F511" s="594">
        <v>4.3518518518518521E-4</v>
      </c>
      <c r="G511" s="592"/>
      <c r="H511" s="592"/>
      <c r="I511" s="595" t="s">
        <v>5257</v>
      </c>
      <c r="J511" s="596" t="s">
        <v>2428</v>
      </c>
    </row>
    <row r="512" spans="1:10" s="597" customFormat="1" ht="12" customHeight="1" x14ac:dyDescent="0.15">
      <c r="A512" s="590" t="s">
        <v>3901</v>
      </c>
      <c r="B512" s="591">
        <v>42565</v>
      </c>
      <c r="C512" s="592" t="s">
        <v>2293</v>
      </c>
      <c r="D512" s="593">
        <v>5</v>
      </c>
      <c r="E512" s="592" t="s">
        <v>3500</v>
      </c>
      <c r="F512" s="594">
        <v>7.3148148148148139E-4</v>
      </c>
      <c r="G512" s="592" t="s">
        <v>961</v>
      </c>
      <c r="H512" s="592"/>
      <c r="I512" s="595" t="s">
        <v>5269</v>
      </c>
      <c r="J512" s="596" t="s">
        <v>2428</v>
      </c>
    </row>
    <row r="513" spans="1:10" s="251" customFormat="1" ht="12" customHeight="1" x14ac:dyDescent="0.15">
      <c r="A513" s="599" t="s">
        <v>4391</v>
      </c>
      <c r="B513" s="568">
        <v>42562</v>
      </c>
      <c r="C513" s="569" t="s">
        <v>4778</v>
      </c>
      <c r="D513" s="570">
        <v>4</v>
      </c>
      <c r="E513" s="600" t="s">
        <v>3500</v>
      </c>
      <c r="F513" s="571">
        <v>5.7638888888888887E-4</v>
      </c>
      <c r="G513" s="569"/>
      <c r="H513" s="569"/>
      <c r="I513" s="572" t="s">
        <v>5233</v>
      </c>
      <c r="J513" s="573" t="s">
        <v>5242</v>
      </c>
    </row>
    <row r="514" spans="1:10" s="251" customFormat="1" ht="12" customHeight="1" x14ac:dyDescent="0.15">
      <c r="A514" s="489" t="s">
        <v>2365</v>
      </c>
      <c r="B514" s="490">
        <v>42565</v>
      </c>
      <c r="C514" s="491" t="s">
        <v>3477</v>
      </c>
      <c r="D514" s="492">
        <v>5</v>
      </c>
      <c r="E514" s="491" t="s">
        <v>3501</v>
      </c>
      <c r="F514" s="493">
        <v>7.291666666666667E-4</v>
      </c>
      <c r="G514" s="491"/>
      <c r="H514" s="491"/>
      <c r="I514" s="494" t="s">
        <v>5241</v>
      </c>
      <c r="J514" s="495" t="s">
        <v>5243</v>
      </c>
    </row>
    <row r="515" spans="1:10" s="251" customFormat="1" ht="12" customHeight="1" x14ac:dyDescent="0.15">
      <c r="A515" s="489" t="s">
        <v>3176</v>
      </c>
      <c r="B515" s="490">
        <v>42567</v>
      </c>
      <c r="C515" s="491" t="s">
        <v>2315</v>
      </c>
      <c r="D515" s="492">
        <v>4</v>
      </c>
      <c r="E515" s="491" t="s">
        <v>3501</v>
      </c>
      <c r="F515" s="493">
        <v>5.6493055555555561E-4</v>
      </c>
      <c r="G515" s="491"/>
      <c r="H515" s="491"/>
      <c r="I515" s="494" t="s">
        <v>5264</v>
      </c>
      <c r="J515" s="495" t="s">
        <v>5265</v>
      </c>
    </row>
    <row r="516" spans="1:10" s="251" customFormat="1" ht="12" customHeight="1" x14ac:dyDescent="0.15">
      <c r="A516" s="489" t="s">
        <v>4396</v>
      </c>
      <c r="B516" s="490">
        <v>42567</v>
      </c>
      <c r="C516" s="491" t="s">
        <v>2315</v>
      </c>
      <c r="D516" s="492">
        <v>6</v>
      </c>
      <c r="E516" s="491" t="s">
        <v>3500</v>
      </c>
      <c r="F516" s="493">
        <v>8.8113425925925913E-4</v>
      </c>
      <c r="G516" s="491"/>
      <c r="H516" s="491"/>
      <c r="I516" s="494" t="s">
        <v>964</v>
      </c>
      <c r="J516" s="495" t="s">
        <v>5266</v>
      </c>
    </row>
    <row r="517" spans="1:10" s="597" customFormat="1" ht="12" customHeight="1" x14ac:dyDescent="0.15">
      <c r="A517" s="590" t="s">
        <v>2469</v>
      </c>
      <c r="B517" s="591">
        <v>42567</v>
      </c>
      <c r="C517" s="592" t="s">
        <v>5169</v>
      </c>
      <c r="D517" s="593">
        <v>4</v>
      </c>
      <c r="E517" s="592" t="s">
        <v>3500</v>
      </c>
      <c r="F517" s="594">
        <v>6.281250000000001E-4</v>
      </c>
      <c r="G517" s="592"/>
      <c r="H517" s="592" t="s">
        <v>1249</v>
      </c>
      <c r="I517" s="595" t="s">
        <v>2303</v>
      </c>
      <c r="J517" s="596" t="s">
        <v>2310</v>
      </c>
    </row>
    <row r="518" spans="1:10" s="597" customFormat="1" ht="12" customHeight="1" x14ac:dyDescent="0.15">
      <c r="A518" s="590" t="s">
        <v>3236</v>
      </c>
      <c r="B518" s="591">
        <v>42554</v>
      </c>
      <c r="C518" s="592" t="s">
        <v>2293</v>
      </c>
      <c r="D518" s="593">
        <v>3</v>
      </c>
      <c r="E518" s="592" t="s">
        <v>3500</v>
      </c>
      <c r="F518" s="594">
        <v>4.3981481481481481E-4</v>
      </c>
      <c r="G518" s="592"/>
      <c r="H518" s="592"/>
      <c r="I518" s="595" t="s">
        <v>4439</v>
      </c>
      <c r="J518" s="596" t="s">
        <v>5235</v>
      </c>
    </row>
    <row r="519" spans="1:10" s="618" customFormat="1" ht="12" customHeight="1" x14ac:dyDescent="0.15">
      <c r="A519" s="611" t="s">
        <v>3211</v>
      </c>
      <c r="B519" s="612">
        <v>42563</v>
      </c>
      <c r="C519" s="613" t="s">
        <v>5141</v>
      </c>
      <c r="D519" s="614">
        <v>4</v>
      </c>
      <c r="E519" s="613" t="s">
        <v>3500</v>
      </c>
      <c r="F519" s="615">
        <v>5.7870370370370378E-4</v>
      </c>
      <c r="G519" s="613"/>
      <c r="H519" s="613"/>
      <c r="I519" s="616" t="s">
        <v>3191</v>
      </c>
      <c r="J519" s="617" t="s">
        <v>5234</v>
      </c>
    </row>
    <row r="520" spans="1:10" s="252" customFormat="1" ht="12" customHeight="1" x14ac:dyDescent="0.15">
      <c r="A520" s="496" t="s">
        <v>2143</v>
      </c>
      <c r="B520" s="497">
        <v>42564</v>
      </c>
      <c r="C520" s="498" t="s">
        <v>2315</v>
      </c>
      <c r="D520" s="499">
        <v>4</v>
      </c>
      <c r="E520" s="498" t="s">
        <v>3500</v>
      </c>
      <c r="F520" s="500">
        <v>5.6180555555555552E-4</v>
      </c>
      <c r="G520" s="498"/>
      <c r="H520" s="498" t="s">
        <v>1249</v>
      </c>
      <c r="I520" s="501" t="s">
        <v>5237</v>
      </c>
      <c r="J520" s="502" t="s">
        <v>5238</v>
      </c>
    </row>
    <row r="521" spans="1:10" s="251" customFormat="1" ht="12" customHeight="1" x14ac:dyDescent="0.15">
      <c r="A521" s="489" t="s">
        <v>3333</v>
      </c>
      <c r="B521" s="490">
        <v>42565</v>
      </c>
      <c r="C521" s="491" t="s">
        <v>4460</v>
      </c>
      <c r="D521" s="492">
        <v>4</v>
      </c>
      <c r="E521" s="491" t="s">
        <v>3500</v>
      </c>
      <c r="F521" s="493">
        <v>5.9953703703703699E-4</v>
      </c>
      <c r="G521" s="491"/>
      <c r="H521" s="491"/>
      <c r="I521" s="494" t="s">
        <v>5240</v>
      </c>
      <c r="J521" s="495"/>
    </row>
    <row r="522" spans="1:10" s="251" customFormat="1" ht="12" customHeight="1" x14ac:dyDescent="0.15">
      <c r="A522" s="489" t="s">
        <v>2475</v>
      </c>
      <c r="B522" s="490">
        <v>42566</v>
      </c>
      <c r="C522" s="491" t="s">
        <v>2293</v>
      </c>
      <c r="D522" s="492">
        <v>3</v>
      </c>
      <c r="E522" s="491" t="s">
        <v>3500</v>
      </c>
      <c r="F522" s="493">
        <v>4.212962962962963E-4</v>
      </c>
      <c r="G522" s="491"/>
      <c r="H522" s="491"/>
      <c r="I522" s="494" t="s">
        <v>4284</v>
      </c>
      <c r="J522" s="495"/>
    </row>
    <row r="523" spans="1:10" s="597" customFormat="1" ht="12" customHeight="1" x14ac:dyDescent="0.15">
      <c r="A523" s="590" t="s">
        <v>3607</v>
      </c>
      <c r="B523" s="591">
        <v>42567</v>
      </c>
      <c r="C523" s="592" t="s">
        <v>1950</v>
      </c>
      <c r="D523" s="593">
        <v>4</v>
      </c>
      <c r="E523" s="592" t="s">
        <v>3500</v>
      </c>
      <c r="F523" s="594">
        <v>5.9155092592592592E-4</v>
      </c>
      <c r="G523" s="592"/>
      <c r="H523" s="592"/>
      <c r="I523" s="595" t="s">
        <v>3927</v>
      </c>
      <c r="J523" s="596"/>
    </row>
    <row r="524" spans="1:10" s="251" customFormat="1" ht="12" customHeight="1" thickBot="1" x14ac:dyDescent="0.2">
      <c r="A524" s="489" t="s">
        <v>2478</v>
      </c>
      <c r="B524" s="490">
        <v>42567</v>
      </c>
      <c r="C524" s="491" t="s">
        <v>3200</v>
      </c>
      <c r="D524" s="492">
        <v>4</v>
      </c>
      <c r="E524" s="491" t="s">
        <v>3500</v>
      </c>
      <c r="F524" s="493">
        <v>5.6307870370370366E-4</v>
      </c>
      <c r="G524" s="491"/>
      <c r="H524" s="491"/>
      <c r="I524" s="503" t="s">
        <v>5268</v>
      </c>
      <c r="J524" s="495"/>
    </row>
    <row r="525" spans="1:10" s="251" customFormat="1" ht="12" customHeight="1" x14ac:dyDescent="0.15">
      <c r="A525" s="540" t="s">
        <v>33</v>
      </c>
      <c r="B525" s="253">
        <v>42569</v>
      </c>
      <c r="C525" s="254" t="s">
        <v>3212</v>
      </c>
      <c r="D525" s="255">
        <v>4</v>
      </c>
      <c r="E525" s="342" t="s">
        <v>3500</v>
      </c>
      <c r="F525" s="256">
        <v>6.018518518518519E-4</v>
      </c>
      <c r="G525" s="254"/>
      <c r="H525" s="254"/>
      <c r="I525" s="257" t="s">
        <v>2232</v>
      </c>
      <c r="J525" s="258"/>
    </row>
    <row r="526" spans="1:10" s="597" customFormat="1" ht="12" customHeight="1" x14ac:dyDescent="0.15">
      <c r="A526" s="590" t="s">
        <v>3629</v>
      </c>
      <c r="B526" s="591">
        <v>42569</v>
      </c>
      <c r="C526" s="592" t="s">
        <v>1950</v>
      </c>
      <c r="D526" s="593">
        <v>4</v>
      </c>
      <c r="E526" s="592" t="s">
        <v>3500</v>
      </c>
      <c r="F526" s="594">
        <v>5.7349537037037037E-4</v>
      </c>
      <c r="G526" s="592"/>
      <c r="H526" s="592"/>
      <c r="I526" s="595" t="s">
        <v>2436</v>
      </c>
      <c r="J526" s="596"/>
    </row>
    <row r="527" spans="1:10" s="597" customFormat="1" ht="12" customHeight="1" x14ac:dyDescent="0.15">
      <c r="A527" s="590" t="s">
        <v>3427</v>
      </c>
      <c r="B527" s="591">
        <v>42569</v>
      </c>
      <c r="C527" s="592" t="s">
        <v>3193</v>
      </c>
      <c r="D527" s="593">
        <v>3</v>
      </c>
      <c r="E527" s="592" t="s">
        <v>3500</v>
      </c>
      <c r="F527" s="594">
        <v>4.4444444444444441E-4</v>
      </c>
      <c r="G527" s="592"/>
      <c r="H527" s="592"/>
      <c r="I527" s="595" t="s">
        <v>2214</v>
      </c>
      <c r="J527" s="596"/>
    </row>
    <row r="528" spans="1:10" s="597" customFormat="1" ht="12" customHeight="1" x14ac:dyDescent="0.15">
      <c r="A528" s="590" t="s">
        <v>3236</v>
      </c>
      <c r="B528" s="591">
        <v>42571</v>
      </c>
      <c r="C528" s="592" t="s">
        <v>2293</v>
      </c>
      <c r="D528" s="593">
        <v>4</v>
      </c>
      <c r="E528" s="592" t="s">
        <v>3500</v>
      </c>
      <c r="F528" s="594">
        <v>5.8333333333333338E-4</v>
      </c>
      <c r="G528" s="592"/>
      <c r="H528" s="592"/>
      <c r="I528" s="595" t="s">
        <v>5293</v>
      </c>
      <c r="J528" s="596"/>
    </row>
    <row r="529" spans="1:10" s="597" customFormat="1" ht="12" customHeight="1" x14ac:dyDescent="0.15">
      <c r="A529" s="590" t="s">
        <v>2487</v>
      </c>
      <c r="B529" s="591">
        <v>42572</v>
      </c>
      <c r="C529" s="592" t="s">
        <v>4748</v>
      </c>
      <c r="D529" s="593">
        <v>4</v>
      </c>
      <c r="E529" s="592" t="s">
        <v>3500</v>
      </c>
      <c r="F529" s="594">
        <v>5.8564814814814818E-4</v>
      </c>
      <c r="G529" s="592"/>
      <c r="H529" s="592"/>
      <c r="I529" s="595" t="s">
        <v>5304</v>
      </c>
      <c r="J529" s="596" t="s">
        <v>5305</v>
      </c>
    </row>
    <row r="530" spans="1:10" s="251" customFormat="1" ht="12" customHeight="1" x14ac:dyDescent="0.15">
      <c r="A530" s="489" t="s">
        <v>2316</v>
      </c>
      <c r="B530" s="490">
        <v>42571</v>
      </c>
      <c r="C530" s="491" t="s">
        <v>4807</v>
      </c>
      <c r="D530" s="492">
        <v>3</v>
      </c>
      <c r="E530" s="491" t="s">
        <v>3500</v>
      </c>
      <c r="F530" s="493">
        <v>4.5138888888888892E-4</v>
      </c>
      <c r="G530" s="491"/>
      <c r="H530" s="491"/>
      <c r="I530" s="494" t="s">
        <v>3208</v>
      </c>
      <c r="J530" s="495" t="s">
        <v>5291</v>
      </c>
    </row>
    <row r="531" spans="1:10" s="251" customFormat="1" ht="12" customHeight="1" x14ac:dyDescent="0.15">
      <c r="A531" s="599" t="s">
        <v>3430</v>
      </c>
      <c r="B531" s="568">
        <v>42573</v>
      </c>
      <c r="C531" s="569" t="s">
        <v>4460</v>
      </c>
      <c r="D531" s="570">
        <v>3</v>
      </c>
      <c r="E531" s="600" t="s">
        <v>3500</v>
      </c>
      <c r="F531" s="571">
        <v>4.3981481481481481E-4</v>
      </c>
      <c r="G531" s="569"/>
      <c r="H531" s="569"/>
      <c r="I531" s="572" t="s">
        <v>4627</v>
      </c>
      <c r="J531" s="573" t="s">
        <v>5320</v>
      </c>
    </row>
    <row r="532" spans="1:10" s="251" customFormat="1" ht="12" customHeight="1" x14ac:dyDescent="0.15">
      <c r="A532" s="489" t="s">
        <v>3178</v>
      </c>
      <c r="B532" s="490">
        <v>42571</v>
      </c>
      <c r="C532" s="491" t="s">
        <v>1950</v>
      </c>
      <c r="D532" s="492">
        <v>3</v>
      </c>
      <c r="E532" s="491" t="s">
        <v>3500</v>
      </c>
      <c r="F532" s="493">
        <v>4.2233796296296306E-4</v>
      </c>
      <c r="G532" s="491"/>
      <c r="H532" s="491"/>
      <c r="I532" s="494" t="s">
        <v>4144</v>
      </c>
      <c r="J532" s="495" t="s">
        <v>2383</v>
      </c>
    </row>
    <row r="533" spans="1:10" s="251" customFormat="1" ht="12" customHeight="1" x14ac:dyDescent="0.15">
      <c r="A533" s="489" t="s">
        <v>1294</v>
      </c>
      <c r="B533" s="490">
        <v>42574</v>
      </c>
      <c r="C533" s="491" t="s">
        <v>4721</v>
      </c>
      <c r="D533" s="492">
        <v>3</v>
      </c>
      <c r="E533" s="491" t="s">
        <v>3500</v>
      </c>
      <c r="F533" s="493">
        <v>4.118055555555555E-4</v>
      </c>
      <c r="G533" s="491"/>
      <c r="H533" s="491"/>
      <c r="I533" s="494" t="s">
        <v>1210</v>
      </c>
      <c r="J533" s="495" t="s">
        <v>5321</v>
      </c>
    </row>
    <row r="534" spans="1:10" s="252" customFormat="1" ht="12" customHeight="1" x14ac:dyDescent="0.15">
      <c r="A534" s="496" t="s">
        <v>1953</v>
      </c>
      <c r="B534" s="497">
        <v>42574</v>
      </c>
      <c r="C534" s="498" t="s">
        <v>5189</v>
      </c>
      <c r="D534" s="499">
        <v>3</v>
      </c>
      <c r="E534" s="498" t="s">
        <v>3500</v>
      </c>
      <c r="F534" s="500">
        <v>4.1666666666666669E-4</v>
      </c>
      <c r="G534" s="498"/>
      <c r="H534" s="498"/>
      <c r="I534" s="501" t="s">
        <v>3982</v>
      </c>
      <c r="J534" s="502" t="s">
        <v>5322</v>
      </c>
    </row>
    <row r="535" spans="1:10" s="252" customFormat="1" ht="12" customHeight="1" x14ac:dyDescent="0.15">
      <c r="A535" s="496" t="s">
        <v>2227</v>
      </c>
      <c r="B535" s="497">
        <v>42570</v>
      </c>
      <c r="C535" s="498" t="s">
        <v>1950</v>
      </c>
      <c r="D535" s="499">
        <v>4</v>
      </c>
      <c r="E535" s="498" t="s">
        <v>3500</v>
      </c>
      <c r="F535" s="500">
        <v>5.603009259259259E-4</v>
      </c>
      <c r="G535" s="498"/>
      <c r="H535" s="498"/>
      <c r="I535" s="501" t="s">
        <v>5237</v>
      </c>
      <c r="J535" s="502" t="s">
        <v>5303</v>
      </c>
    </row>
    <row r="536" spans="1:10" s="252" customFormat="1" ht="12" customHeight="1" x14ac:dyDescent="0.15">
      <c r="A536" s="496" t="s">
        <v>1816</v>
      </c>
      <c r="B536" s="497">
        <v>42572</v>
      </c>
      <c r="C536" s="498" t="s">
        <v>4778</v>
      </c>
      <c r="D536" s="499">
        <v>4</v>
      </c>
      <c r="E536" s="498" t="s">
        <v>3500</v>
      </c>
      <c r="F536" s="500">
        <v>5.4629629629629635E-4</v>
      </c>
      <c r="G536" s="498"/>
      <c r="H536" s="498"/>
      <c r="I536" s="501" t="s">
        <v>5306</v>
      </c>
      <c r="J536" s="502" t="s">
        <v>5307</v>
      </c>
    </row>
    <row r="537" spans="1:10" s="252" customFormat="1" ht="12" customHeight="1" x14ac:dyDescent="0.15">
      <c r="A537" s="496" t="s">
        <v>1666</v>
      </c>
      <c r="B537" s="497">
        <v>42572</v>
      </c>
      <c r="C537" s="498" t="s">
        <v>1035</v>
      </c>
      <c r="D537" s="499">
        <v>5</v>
      </c>
      <c r="E537" s="498" t="s">
        <v>3500</v>
      </c>
      <c r="F537" s="500">
        <v>6.7592592592592585E-4</v>
      </c>
      <c r="G537" s="498"/>
      <c r="H537" s="498"/>
      <c r="I537" s="501" t="s">
        <v>3191</v>
      </c>
      <c r="J537" s="502" t="s">
        <v>5308</v>
      </c>
    </row>
    <row r="538" spans="1:10" s="251" customFormat="1" ht="12" customHeight="1" x14ac:dyDescent="0.15">
      <c r="A538" s="489" t="s">
        <v>54</v>
      </c>
      <c r="B538" s="490">
        <v>42570</v>
      </c>
      <c r="C538" s="491" t="s">
        <v>4990</v>
      </c>
      <c r="D538" s="492">
        <v>5</v>
      </c>
      <c r="E538" s="491" t="s">
        <v>3500</v>
      </c>
      <c r="F538" s="493">
        <v>7.291666666666667E-4</v>
      </c>
      <c r="G538" s="491"/>
      <c r="H538" s="491"/>
      <c r="I538" s="494" t="s">
        <v>4098</v>
      </c>
      <c r="J538" s="495"/>
    </row>
    <row r="539" spans="1:10" s="251" customFormat="1" ht="12" customHeight="1" x14ac:dyDescent="0.15">
      <c r="A539" s="489" t="s">
        <v>56</v>
      </c>
      <c r="B539" s="490">
        <v>42574</v>
      </c>
      <c r="C539" s="491" t="s">
        <v>5118</v>
      </c>
      <c r="D539" s="492">
        <v>3</v>
      </c>
      <c r="E539" s="491" t="s">
        <v>3500</v>
      </c>
      <c r="F539" s="493">
        <v>4.4212962962962961E-4</v>
      </c>
      <c r="G539" s="491"/>
      <c r="H539" s="491"/>
      <c r="I539" s="494" t="s">
        <v>5323</v>
      </c>
      <c r="J539" s="495"/>
    </row>
    <row r="540" spans="1:10" s="251" customFormat="1" ht="12" customHeight="1" x14ac:dyDescent="0.15">
      <c r="A540" s="489" t="s">
        <v>3176</v>
      </c>
      <c r="B540" s="490">
        <v>42574</v>
      </c>
      <c r="C540" s="491" t="s">
        <v>2315</v>
      </c>
      <c r="D540" s="492">
        <v>5</v>
      </c>
      <c r="E540" s="491" t="s">
        <v>3500</v>
      </c>
      <c r="F540" s="493">
        <v>7.4189814814814821E-4</v>
      </c>
      <c r="G540" s="491"/>
      <c r="H540" s="491"/>
      <c r="I540" s="494" t="s">
        <v>4627</v>
      </c>
      <c r="J540" s="495"/>
    </row>
    <row r="541" spans="1:10" s="251" customFormat="1" ht="12" customHeight="1" x14ac:dyDescent="0.15">
      <c r="A541" s="489" t="s">
        <v>2177</v>
      </c>
      <c r="B541" s="490">
        <v>42574</v>
      </c>
      <c r="C541" s="491" t="s">
        <v>5189</v>
      </c>
      <c r="D541" s="492">
        <v>5</v>
      </c>
      <c r="E541" s="491" t="s">
        <v>3500</v>
      </c>
      <c r="F541" s="493">
        <v>7.175925925925927E-4</v>
      </c>
      <c r="G541" s="491"/>
      <c r="H541" s="491"/>
      <c r="I541" s="494" t="s">
        <v>4152</v>
      </c>
      <c r="J541" s="495"/>
    </row>
    <row r="542" spans="1:10" s="251" customFormat="1" ht="12" customHeight="1" x14ac:dyDescent="0.15">
      <c r="A542" s="489" t="s">
        <v>2478</v>
      </c>
      <c r="B542" s="490">
        <v>42574</v>
      </c>
      <c r="C542" s="491" t="s">
        <v>5324</v>
      </c>
      <c r="D542" s="492">
        <v>4</v>
      </c>
      <c r="E542" s="491" t="s">
        <v>3500</v>
      </c>
      <c r="F542" s="493">
        <v>5.6817129629629633E-4</v>
      </c>
      <c r="G542" s="491"/>
      <c r="H542" s="491"/>
      <c r="I542" s="494" t="s">
        <v>5325</v>
      </c>
      <c r="J542" s="495"/>
    </row>
    <row r="543" spans="1:10" s="251" customFormat="1" ht="12" customHeight="1" thickBot="1" x14ac:dyDescent="0.2">
      <c r="A543" s="489" t="s">
        <v>1897</v>
      </c>
      <c r="B543" s="490">
        <v>42575</v>
      </c>
      <c r="C543" s="491" t="s">
        <v>4778</v>
      </c>
      <c r="D543" s="492">
        <v>3</v>
      </c>
      <c r="E543" s="491" t="s">
        <v>3500</v>
      </c>
      <c r="F543" s="493">
        <v>4.3055555555555555E-4</v>
      </c>
      <c r="G543" s="491"/>
      <c r="H543" s="491"/>
      <c r="I543" s="503" t="s">
        <v>4053</v>
      </c>
      <c r="J543" s="495"/>
    </row>
    <row r="544" spans="1:10" s="251" customFormat="1" ht="12" customHeight="1" x14ac:dyDescent="0.15">
      <c r="A544" s="540" t="s">
        <v>351</v>
      </c>
      <c r="B544" s="253">
        <v>42576</v>
      </c>
      <c r="C544" s="254" t="s">
        <v>4704</v>
      </c>
      <c r="D544" s="255">
        <v>4</v>
      </c>
      <c r="E544" s="342" t="s">
        <v>3501</v>
      </c>
      <c r="F544" s="256">
        <v>5.7175925925925927E-4</v>
      </c>
      <c r="G544" s="254"/>
      <c r="H544" s="254"/>
      <c r="I544" s="257" t="s">
        <v>3900</v>
      </c>
      <c r="J544" s="258"/>
    </row>
    <row r="545" spans="1:10" s="251" customFormat="1" ht="12" customHeight="1" x14ac:dyDescent="0.15">
      <c r="A545" s="599" t="s">
        <v>2176</v>
      </c>
      <c r="B545" s="568">
        <v>42577</v>
      </c>
      <c r="C545" s="569" t="s">
        <v>2315</v>
      </c>
      <c r="D545" s="570">
        <v>3</v>
      </c>
      <c r="E545" s="600" t="s">
        <v>3500</v>
      </c>
      <c r="F545" s="571">
        <v>4.2222222222222222E-4</v>
      </c>
      <c r="G545" s="569"/>
      <c r="H545" s="569"/>
      <c r="I545" s="572" t="s">
        <v>964</v>
      </c>
      <c r="J545" s="573"/>
    </row>
    <row r="546" spans="1:10" s="252" customFormat="1" ht="12" customHeight="1" x14ac:dyDescent="0.15">
      <c r="A546" s="496" t="s">
        <v>54</v>
      </c>
      <c r="B546" s="497">
        <v>42576</v>
      </c>
      <c r="C546" s="498" t="s">
        <v>4990</v>
      </c>
      <c r="D546" s="499">
        <v>5</v>
      </c>
      <c r="E546" s="498" t="s">
        <v>3500</v>
      </c>
      <c r="F546" s="500">
        <v>6.9907407407407407E-4</v>
      </c>
      <c r="G546" s="498"/>
      <c r="H546" s="498"/>
      <c r="I546" s="501" t="s">
        <v>3268</v>
      </c>
      <c r="J546" s="502" t="s">
        <v>5334</v>
      </c>
    </row>
    <row r="547" spans="1:10" s="252" customFormat="1" ht="12" customHeight="1" x14ac:dyDescent="0.15">
      <c r="A547" s="496" t="s">
        <v>4548</v>
      </c>
      <c r="B547" s="497">
        <v>42577</v>
      </c>
      <c r="C547" s="498" t="s">
        <v>4464</v>
      </c>
      <c r="D547" s="499">
        <v>4</v>
      </c>
      <c r="E547" s="498" t="s">
        <v>3500</v>
      </c>
      <c r="F547" s="500">
        <v>5.7175925925925927E-4</v>
      </c>
      <c r="G547" s="498"/>
      <c r="H547" s="498"/>
      <c r="I547" s="501" t="s">
        <v>3227</v>
      </c>
      <c r="J547" s="502" t="s">
        <v>4947</v>
      </c>
    </row>
    <row r="548" spans="1:10" s="252" customFormat="1" ht="12" customHeight="1" x14ac:dyDescent="0.15">
      <c r="A548" s="496" t="s">
        <v>3355</v>
      </c>
      <c r="B548" s="497">
        <v>42578</v>
      </c>
      <c r="C548" s="498" t="s">
        <v>1950</v>
      </c>
      <c r="D548" s="499">
        <v>4</v>
      </c>
      <c r="E548" s="498" t="s">
        <v>3500</v>
      </c>
      <c r="F548" s="500">
        <v>5.4537037037037043E-4</v>
      </c>
      <c r="G548" s="498"/>
      <c r="H548" s="498" t="s">
        <v>1249</v>
      </c>
      <c r="I548" s="501" t="s">
        <v>4393</v>
      </c>
      <c r="J548" s="502" t="s">
        <v>2310</v>
      </c>
    </row>
    <row r="549" spans="1:10" s="252" customFormat="1" ht="12" customHeight="1" x14ac:dyDescent="0.15">
      <c r="A549" s="496" t="s">
        <v>3340</v>
      </c>
      <c r="B549" s="497">
        <v>42578</v>
      </c>
      <c r="C549" s="498" t="s">
        <v>1950</v>
      </c>
      <c r="D549" s="499">
        <v>3</v>
      </c>
      <c r="E549" s="498" t="s">
        <v>3500</v>
      </c>
      <c r="F549" s="500">
        <v>4.2581018518518516E-4</v>
      </c>
      <c r="G549" s="498"/>
      <c r="H549" s="498"/>
      <c r="I549" s="501" t="s">
        <v>5348</v>
      </c>
      <c r="J549" s="502" t="s">
        <v>5365</v>
      </c>
    </row>
    <row r="550" spans="1:10" s="252" customFormat="1" ht="12" customHeight="1" x14ac:dyDescent="0.15">
      <c r="A550" s="496" t="s">
        <v>1816</v>
      </c>
      <c r="B550" s="497">
        <v>42581</v>
      </c>
      <c r="C550" s="498" t="s">
        <v>4778</v>
      </c>
      <c r="D550" s="499">
        <v>4</v>
      </c>
      <c r="E550" s="498" t="s">
        <v>3500</v>
      </c>
      <c r="F550" s="500">
        <v>5.4398148148148144E-4</v>
      </c>
      <c r="G550" s="498"/>
      <c r="H550" s="498"/>
      <c r="I550" s="501" t="s">
        <v>5359</v>
      </c>
      <c r="J550" s="502" t="s">
        <v>5363</v>
      </c>
    </row>
    <row r="551" spans="1:10" s="251" customFormat="1" ht="12" customHeight="1" x14ac:dyDescent="0.15">
      <c r="A551" s="489" t="s">
        <v>2121</v>
      </c>
      <c r="B551" s="490">
        <v>42578</v>
      </c>
      <c r="C551" s="491" t="s">
        <v>1950</v>
      </c>
      <c r="D551" s="492">
        <v>3</v>
      </c>
      <c r="E551" s="491" t="s">
        <v>3500</v>
      </c>
      <c r="F551" s="493">
        <v>4.2696759259259256E-4</v>
      </c>
      <c r="G551" s="491"/>
      <c r="H551" s="491"/>
      <c r="I551" s="494" t="s">
        <v>4364</v>
      </c>
      <c r="J551" s="495" t="s">
        <v>5347</v>
      </c>
    </row>
    <row r="552" spans="1:10" s="251" customFormat="1" ht="12" customHeight="1" x14ac:dyDescent="0.15">
      <c r="A552" s="489" t="s">
        <v>3427</v>
      </c>
      <c r="B552" s="490">
        <v>42576</v>
      </c>
      <c r="C552" s="491" t="s">
        <v>3193</v>
      </c>
      <c r="D552" s="492">
        <v>3</v>
      </c>
      <c r="E552" s="491" t="s">
        <v>3500</v>
      </c>
      <c r="F552" s="493">
        <v>4.2824074074074075E-4</v>
      </c>
      <c r="G552" s="491"/>
      <c r="H552" s="491"/>
      <c r="I552" s="494" t="s">
        <v>4436</v>
      </c>
      <c r="J552" s="495" t="s">
        <v>2383</v>
      </c>
    </row>
    <row r="553" spans="1:10" s="251" customFormat="1" ht="12" customHeight="1" x14ac:dyDescent="0.15">
      <c r="A553" s="489" t="s">
        <v>2227</v>
      </c>
      <c r="B553" s="490">
        <v>42577</v>
      </c>
      <c r="C553" s="491" t="s">
        <v>1950</v>
      </c>
      <c r="D553" s="492">
        <v>4</v>
      </c>
      <c r="E553" s="491" t="s">
        <v>3500</v>
      </c>
      <c r="F553" s="493">
        <v>5.5659722222222232E-4</v>
      </c>
      <c r="G553" s="491"/>
      <c r="H553" s="491"/>
      <c r="I553" s="494" t="s">
        <v>1210</v>
      </c>
      <c r="J553" s="495" t="s">
        <v>5345</v>
      </c>
    </row>
    <row r="554" spans="1:10" s="597" customFormat="1" ht="12" customHeight="1" x14ac:dyDescent="0.15">
      <c r="A554" s="590" t="s">
        <v>3316</v>
      </c>
      <c r="B554" s="591">
        <v>42581</v>
      </c>
      <c r="C554" s="592" t="s">
        <v>1950</v>
      </c>
      <c r="D554" s="593">
        <v>3</v>
      </c>
      <c r="E554" s="592" t="s">
        <v>3500</v>
      </c>
      <c r="F554" s="594">
        <v>4.2141203703703698E-4</v>
      </c>
      <c r="G554" s="592"/>
      <c r="H554" s="592"/>
      <c r="I554" s="595" t="s">
        <v>3860</v>
      </c>
      <c r="J554" s="596" t="s">
        <v>4329</v>
      </c>
    </row>
    <row r="555" spans="1:10" s="597" customFormat="1" ht="12" customHeight="1" x14ac:dyDescent="0.15">
      <c r="A555" s="590" t="s">
        <v>3277</v>
      </c>
      <c r="B555" s="591">
        <v>42581</v>
      </c>
      <c r="C555" s="592" t="s">
        <v>2293</v>
      </c>
      <c r="D555" s="593">
        <v>3</v>
      </c>
      <c r="E555" s="592" t="s">
        <v>3500</v>
      </c>
      <c r="F555" s="594">
        <v>4.3750000000000001E-4</v>
      </c>
      <c r="G555" s="592"/>
      <c r="H555" s="592"/>
      <c r="I555" s="595" t="s">
        <v>5361</v>
      </c>
      <c r="J555" s="596" t="s">
        <v>5362</v>
      </c>
    </row>
    <row r="556" spans="1:10" s="251" customFormat="1" ht="12" customHeight="1" x14ac:dyDescent="0.15">
      <c r="A556" s="489" t="s">
        <v>3339</v>
      </c>
      <c r="B556" s="490">
        <v>42578</v>
      </c>
      <c r="C556" s="491" t="s">
        <v>1950</v>
      </c>
      <c r="D556" s="492">
        <v>4</v>
      </c>
      <c r="E556" s="491" t="s">
        <v>3500</v>
      </c>
      <c r="F556" s="493">
        <v>5.8831018518518509E-4</v>
      </c>
      <c r="G556" s="491"/>
      <c r="H556" s="491"/>
      <c r="I556" s="494" t="s">
        <v>5349</v>
      </c>
      <c r="J556" s="495"/>
    </row>
    <row r="557" spans="1:10" s="251" customFormat="1" ht="12" customHeight="1" x14ac:dyDescent="0.15">
      <c r="A557" s="489" t="s">
        <v>121</v>
      </c>
      <c r="B557" s="490">
        <v>42581</v>
      </c>
      <c r="C557" s="491" t="s">
        <v>4748</v>
      </c>
      <c r="D557" s="492">
        <v>4</v>
      </c>
      <c r="E557" s="491" t="s">
        <v>3500</v>
      </c>
      <c r="F557" s="493">
        <v>5.7870370370370378E-4</v>
      </c>
      <c r="G557" s="491"/>
      <c r="H557" s="491"/>
      <c r="I557" s="494" t="s">
        <v>5360</v>
      </c>
      <c r="J557" s="495"/>
    </row>
    <row r="558" spans="1:10" s="251" customFormat="1" ht="12" customHeight="1" x14ac:dyDescent="0.15">
      <c r="A558" s="489" t="s">
        <v>2478</v>
      </c>
      <c r="B558" s="490">
        <v>42581</v>
      </c>
      <c r="C558" s="491" t="s">
        <v>5324</v>
      </c>
      <c r="D558" s="492">
        <v>3</v>
      </c>
      <c r="E558" s="491" t="s">
        <v>3500</v>
      </c>
      <c r="F558" s="493">
        <v>4.3854166666666672E-4</v>
      </c>
      <c r="G558" s="491"/>
      <c r="H558" s="491"/>
      <c r="I558" s="494" t="s">
        <v>5364</v>
      </c>
      <c r="J558" s="495"/>
    </row>
    <row r="559" spans="1:10" s="251" customFormat="1" ht="12" customHeight="1" thickBot="1" x14ac:dyDescent="0.2">
      <c r="A559" s="489" t="s">
        <v>1294</v>
      </c>
      <c r="B559" s="490">
        <v>42582</v>
      </c>
      <c r="C559" s="491" t="s">
        <v>4721</v>
      </c>
      <c r="D559" s="492">
        <v>4</v>
      </c>
      <c r="E559" s="491" t="s">
        <v>3500</v>
      </c>
      <c r="F559" s="493">
        <v>5.7835648148148145E-4</v>
      </c>
      <c r="G559" s="491"/>
      <c r="H559" s="491"/>
      <c r="I559" s="503" t="s">
        <v>5367</v>
      </c>
      <c r="J559" s="495"/>
    </row>
    <row r="560" spans="1:10" s="251" customFormat="1" ht="12" customHeight="1" x14ac:dyDescent="0.15">
      <c r="A560" s="540" t="s">
        <v>3355</v>
      </c>
      <c r="B560" s="253">
        <v>42585</v>
      </c>
      <c r="C560" s="254" t="s">
        <v>1950</v>
      </c>
      <c r="D560" s="255">
        <v>5</v>
      </c>
      <c r="E560" s="342" t="s">
        <v>3500</v>
      </c>
      <c r="F560" s="256">
        <v>7.2280092592592589E-4</v>
      </c>
      <c r="G560" s="254"/>
      <c r="H560" s="254"/>
      <c r="I560" s="257" t="s">
        <v>4550</v>
      </c>
      <c r="J560" s="258"/>
    </row>
    <row r="561" spans="1:10" s="251" customFormat="1" ht="12" customHeight="1" x14ac:dyDescent="0.15">
      <c r="A561" s="489" t="s">
        <v>2155</v>
      </c>
      <c r="B561" s="490">
        <v>42585</v>
      </c>
      <c r="C561" s="491" t="s">
        <v>2293</v>
      </c>
      <c r="D561" s="492">
        <v>4</v>
      </c>
      <c r="E561" s="491" t="s">
        <v>3500</v>
      </c>
      <c r="F561" s="493">
        <v>6.2268518518518521E-4</v>
      </c>
      <c r="G561" s="491"/>
      <c r="H561" s="491"/>
      <c r="I561" s="494" t="s">
        <v>4288</v>
      </c>
      <c r="J561" s="495" t="s">
        <v>5382</v>
      </c>
    </row>
    <row r="562" spans="1:10" s="251" customFormat="1" ht="12" customHeight="1" x14ac:dyDescent="0.15">
      <c r="A562" s="489" t="s">
        <v>1295</v>
      </c>
      <c r="B562" s="490">
        <v>42586</v>
      </c>
      <c r="C562" s="491" t="s">
        <v>5324</v>
      </c>
      <c r="D562" s="492">
        <v>5</v>
      </c>
      <c r="E562" s="491" t="s">
        <v>3500</v>
      </c>
      <c r="F562" s="493">
        <v>6.9907407407407407E-4</v>
      </c>
      <c r="G562" s="491"/>
      <c r="H562" s="491"/>
      <c r="I562" s="494" t="s">
        <v>5201</v>
      </c>
      <c r="J562" s="495" t="s">
        <v>5390</v>
      </c>
    </row>
    <row r="563" spans="1:10" s="597" customFormat="1" ht="12" customHeight="1" x14ac:dyDescent="0.15">
      <c r="A563" s="590" t="s">
        <v>2469</v>
      </c>
      <c r="B563" s="591">
        <v>42588</v>
      </c>
      <c r="C563" s="592" t="s">
        <v>5169</v>
      </c>
      <c r="D563" s="593">
        <v>4</v>
      </c>
      <c r="E563" s="592" t="s">
        <v>3500</v>
      </c>
      <c r="F563" s="594">
        <v>6.2627314814814815E-4</v>
      </c>
      <c r="G563" s="592"/>
      <c r="H563" s="592"/>
      <c r="I563" s="595" t="s">
        <v>4144</v>
      </c>
      <c r="J563" s="596" t="s">
        <v>2383</v>
      </c>
    </row>
    <row r="564" spans="1:10" s="597" customFormat="1" ht="12" customHeight="1" x14ac:dyDescent="0.15">
      <c r="A564" s="590" t="s">
        <v>5068</v>
      </c>
      <c r="B564" s="591">
        <v>42588</v>
      </c>
      <c r="C564" s="592" t="s">
        <v>5069</v>
      </c>
      <c r="D564" s="593">
        <v>4</v>
      </c>
      <c r="E564" s="592" t="s">
        <v>3500</v>
      </c>
      <c r="F564" s="594">
        <v>5.6712962962962956E-4</v>
      </c>
      <c r="G564" s="592"/>
      <c r="H564" s="592"/>
      <c r="I564" s="595" t="s">
        <v>5396</v>
      </c>
      <c r="J564" s="596" t="s">
        <v>5397</v>
      </c>
    </row>
    <row r="565" spans="1:10" s="597" customFormat="1" ht="12" customHeight="1" x14ac:dyDescent="0.15">
      <c r="A565" s="590" t="s">
        <v>3795</v>
      </c>
      <c r="B565" s="591">
        <v>42588</v>
      </c>
      <c r="C565" s="592" t="s">
        <v>5270</v>
      </c>
      <c r="D565" s="593">
        <v>3</v>
      </c>
      <c r="E565" s="592" t="s">
        <v>5398</v>
      </c>
      <c r="F565" s="594">
        <v>4.3981481481481481E-4</v>
      </c>
      <c r="G565" s="592"/>
      <c r="H565" s="592" t="s">
        <v>1249</v>
      </c>
      <c r="I565" s="595" t="s">
        <v>3279</v>
      </c>
      <c r="J565" s="596" t="s">
        <v>2310</v>
      </c>
    </row>
    <row r="566" spans="1:10" s="597" customFormat="1" ht="12" customHeight="1" x14ac:dyDescent="0.15">
      <c r="A566" s="590" t="s">
        <v>2487</v>
      </c>
      <c r="B566" s="591">
        <v>42588</v>
      </c>
      <c r="C566" s="592" t="s">
        <v>4748</v>
      </c>
      <c r="D566" s="593">
        <v>4</v>
      </c>
      <c r="E566" s="592" t="s">
        <v>3500</v>
      </c>
      <c r="F566" s="594">
        <v>5.7638888888888887E-4</v>
      </c>
      <c r="G566" s="592"/>
      <c r="H566" s="592"/>
      <c r="I566" s="595" t="s">
        <v>5395</v>
      </c>
      <c r="J566" s="596"/>
    </row>
    <row r="567" spans="1:10" s="597" customFormat="1" ht="12" customHeight="1" x14ac:dyDescent="0.15">
      <c r="A567" s="590" t="s">
        <v>3316</v>
      </c>
      <c r="B567" s="591">
        <v>42588</v>
      </c>
      <c r="C567" s="592" t="s">
        <v>1950</v>
      </c>
      <c r="D567" s="593">
        <v>4</v>
      </c>
      <c r="E567" s="592" t="s">
        <v>3500</v>
      </c>
      <c r="F567" s="594">
        <v>5.7847222222222219E-4</v>
      </c>
      <c r="G567" s="592"/>
      <c r="H567" s="592"/>
      <c r="I567" s="595" t="s">
        <v>4152</v>
      </c>
      <c r="J567" s="596"/>
    </row>
    <row r="568" spans="1:10" s="597" customFormat="1" ht="12" customHeight="1" x14ac:dyDescent="0.15">
      <c r="A568" s="590" t="s">
        <v>3607</v>
      </c>
      <c r="B568" s="591">
        <v>42588</v>
      </c>
      <c r="C568" s="592" t="s">
        <v>1950</v>
      </c>
      <c r="D568" s="593">
        <v>5</v>
      </c>
      <c r="E568" s="592" t="s">
        <v>3500</v>
      </c>
      <c r="F568" s="594">
        <v>7.3113425925925917E-4</v>
      </c>
      <c r="G568" s="592"/>
      <c r="H568" s="592"/>
      <c r="I568" s="595" t="s">
        <v>964</v>
      </c>
      <c r="J568" s="596"/>
    </row>
    <row r="569" spans="1:10" s="251" customFormat="1" ht="12" customHeight="1" thickBot="1" x14ac:dyDescent="0.2">
      <c r="A569" s="489" t="s">
        <v>3340</v>
      </c>
      <c r="B569" s="490">
        <v>42585</v>
      </c>
      <c r="C569" s="491" t="s">
        <v>1950</v>
      </c>
      <c r="D569" s="492">
        <v>4</v>
      </c>
      <c r="E569" s="491" t="s">
        <v>3500</v>
      </c>
      <c r="F569" s="493">
        <v>5.6550925925925931E-4</v>
      </c>
      <c r="G569" s="491"/>
      <c r="H569" s="491"/>
      <c r="I569" s="503" t="s">
        <v>4220</v>
      </c>
      <c r="J569" s="495"/>
    </row>
    <row r="570" spans="1:10" s="251" customFormat="1" ht="12" customHeight="1" x14ac:dyDescent="0.15">
      <c r="A570" s="540" t="s">
        <v>3182</v>
      </c>
      <c r="B570" s="253">
        <v>42591</v>
      </c>
      <c r="C570" s="254" t="s">
        <v>1950</v>
      </c>
      <c r="D570" s="255">
        <v>4</v>
      </c>
      <c r="E570" s="342" t="s">
        <v>3500</v>
      </c>
      <c r="F570" s="256">
        <v>5.7870370370370378E-4</v>
      </c>
      <c r="G570" s="254"/>
      <c r="H570" s="254"/>
      <c r="I570" s="257" t="s">
        <v>5428</v>
      </c>
      <c r="J570" s="258"/>
    </row>
    <row r="571" spans="1:10" s="251" customFormat="1" ht="12" customHeight="1" x14ac:dyDescent="0.15">
      <c r="A571" s="599" t="s">
        <v>3430</v>
      </c>
      <c r="B571" s="568">
        <v>42596</v>
      </c>
      <c r="C571" s="569" t="s">
        <v>4683</v>
      </c>
      <c r="D571" s="570">
        <v>4</v>
      </c>
      <c r="E571" s="600" t="s">
        <v>3500</v>
      </c>
      <c r="F571" s="571">
        <v>5.9722222222222219E-4</v>
      </c>
      <c r="G571" s="569"/>
      <c r="H571" s="569" t="s">
        <v>1249</v>
      </c>
      <c r="I571" s="572" t="s">
        <v>5464</v>
      </c>
      <c r="J571" s="573" t="s">
        <v>2310</v>
      </c>
    </row>
    <row r="572" spans="1:10" s="251" customFormat="1" ht="12" customHeight="1" x14ac:dyDescent="0.15">
      <c r="A572" s="599" t="s">
        <v>1710</v>
      </c>
      <c r="B572" s="568">
        <v>42590</v>
      </c>
      <c r="C572" s="569" t="s">
        <v>2315</v>
      </c>
      <c r="D572" s="570">
        <v>3</v>
      </c>
      <c r="E572" s="600" t="s">
        <v>3500</v>
      </c>
      <c r="F572" s="571">
        <v>4.3067129629629624E-4</v>
      </c>
      <c r="G572" s="569"/>
      <c r="H572" s="569"/>
      <c r="I572" s="572" t="s">
        <v>4144</v>
      </c>
      <c r="J572" s="573" t="s">
        <v>2383</v>
      </c>
    </row>
    <row r="573" spans="1:10" s="252" customFormat="1" ht="12" customHeight="1" x14ac:dyDescent="0.15">
      <c r="A573" s="496" t="s">
        <v>3355</v>
      </c>
      <c r="B573" s="497">
        <v>42591</v>
      </c>
      <c r="C573" s="498" t="s">
        <v>1950</v>
      </c>
      <c r="D573" s="499">
        <v>4</v>
      </c>
      <c r="E573" s="498" t="s">
        <v>3500</v>
      </c>
      <c r="F573" s="500">
        <v>5.4398148148148144E-4</v>
      </c>
      <c r="G573" s="498"/>
      <c r="H573" s="498"/>
      <c r="I573" s="501" t="s">
        <v>5429</v>
      </c>
      <c r="J573" s="502" t="s">
        <v>5430</v>
      </c>
    </row>
    <row r="574" spans="1:10" s="252" customFormat="1" ht="12" customHeight="1" x14ac:dyDescent="0.15">
      <c r="A574" s="496" t="s">
        <v>3340</v>
      </c>
      <c r="B574" s="497">
        <v>42591</v>
      </c>
      <c r="C574" s="498" t="s">
        <v>1950</v>
      </c>
      <c r="D574" s="499">
        <v>4</v>
      </c>
      <c r="E574" s="498" t="s">
        <v>3500</v>
      </c>
      <c r="F574" s="500">
        <v>5.4398148148148144E-4</v>
      </c>
      <c r="G574" s="498"/>
      <c r="H574" s="498" t="s">
        <v>1249</v>
      </c>
      <c r="I574" s="501" t="s">
        <v>5429</v>
      </c>
      <c r="J574" s="502" t="s">
        <v>5431</v>
      </c>
    </row>
    <row r="575" spans="1:10" s="252" customFormat="1" ht="12" customHeight="1" x14ac:dyDescent="0.15">
      <c r="A575" s="496" t="s">
        <v>3266</v>
      </c>
      <c r="B575" s="497">
        <v>42591</v>
      </c>
      <c r="C575" s="498" t="s">
        <v>1950</v>
      </c>
      <c r="D575" s="499">
        <v>5</v>
      </c>
      <c r="E575" s="498" t="s">
        <v>3500</v>
      </c>
      <c r="F575" s="500">
        <v>6.8287037037037025E-4</v>
      </c>
      <c r="G575" s="498"/>
      <c r="H575" s="498"/>
      <c r="I575" s="501" t="s">
        <v>3982</v>
      </c>
      <c r="J575" s="502"/>
    </row>
    <row r="576" spans="1:10" s="252" customFormat="1" ht="12" customHeight="1" x14ac:dyDescent="0.15">
      <c r="A576" s="496" t="s">
        <v>1943</v>
      </c>
      <c r="B576" s="497">
        <v>42591</v>
      </c>
      <c r="C576" s="498" t="s">
        <v>4715</v>
      </c>
      <c r="D576" s="499">
        <v>3</v>
      </c>
      <c r="E576" s="498" t="s">
        <v>3500</v>
      </c>
      <c r="F576" s="500">
        <v>4.1898148148148155E-4</v>
      </c>
      <c r="G576" s="498"/>
      <c r="H576" s="498"/>
      <c r="I576" s="501" t="s">
        <v>3268</v>
      </c>
      <c r="J576" s="502"/>
    </row>
    <row r="577" spans="1:10" s="252" customFormat="1" ht="12" customHeight="1" x14ac:dyDescent="0.15">
      <c r="A577" s="496" t="s">
        <v>1897</v>
      </c>
      <c r="B577" s="497">
        <v>42596</v>
      </c>
      <c r="C577" s="498" t="s">
        <v>4778</v>
      </c>
      <c r="D577" s="499">
        <v>3</v>
      </c>
      <c r="E577" s="498" t="s">
        <v>3500</v>
      </c>
      <c r="F577" s="500">
        <v>4.1898148148148155E-4</v>
      </c>
      <c r="G577" s="498"/>
      <c r="H577" s="498"/>
      <c r="I577" s="501" t="s">
        <v>5466</v>
      </c>
      <c r="J577" s="502"/>
    </row>
    <row r="578" spans="1:10" s="252" customFormat="1" ht="12" customHeight="1" x14ac:dyDescent="0.15">
      <c r="A578" s="496" t="s">
        <v>2355</v>
      </c>
      <c r="B578" s="497">
        <v>42592</v>
      </c>
      <c r="C578" s="498" t="s">
        <v>4778</v>
      </c>
      <c r="D578" s="499">
        <v>4</v>
      </c>
      <c r="E578" s="498" t="s">
        <v>3500</v>
      </c>
      <c r="F578" s="500">
        <v>5.4398148148148144E-4</v>
      </c>
      <c r="G578" s="498"/>
      <c r="H578" s="498"/>
      <c r="I578" s="501" t="s">
        <v>3982</v>
      </c>
      <c r="J578" s="502"/>
    </row>
    <row r="579" spans="1:10" s="252" customFormat="1" ht="12" customHeight="1" x14ac:dyDescent="0.15">
      <c r="A579" s="496" t="s">
        <v>3333</v>
      </c>
      <c r="B579" s="497">
        <v>42594</v>
      </c>
      <c r="C579" s="498" t="s">
        <v>4683</v>
      </c>
      <c r="D579" s="499">
        <v>4</v>
      </c>
      <c r="E579" s="498" t="s">
        <v>3500</v>
      </c>
      <c r="F579" s="500">
        <v>5.4861111111111104E-4</v>
      </c>
      <c r="G579" s="498"/>
      <c r="H579" s="498"/>
      <c r="I579" s="501" t="s">
        <v>4279</v>
      </c>
      <c r="J579" s="502"/>
    </row>
    <row r="580" spans="1:10" s="252" customFormat="1" ht="12" customHeight="1" x14ac:dyDescent="0.15">
      <c r="A580" s="496" t="s">
        <v>1294</v>
      </c>
      <c r="B580" s="497">
        <v>42595</v>
      </c>
      <c r="C580" s="498" t="s">
        <v>4721</v>
      </c>
      <c r="D580" s="499">
        <v>5</v>
      </c>
      <c r="E580" s="498" t="s">
        <v>3500</v>
      </c>
      <c r="F580" s="500">
        <v>7.17361111111111E-4</v>
      </c>
      <c r="G580" s="498"/>
      <c r="H580" s="498"/>
      <c r="I580" s="501" t="s">
        <v>3191</v>
      </c>
      <c r="J580" s="502"/>
    </row>
    <row r="581" spans="1:10" s="252" customFormat="1" ht="12" customHeight="1" x14ac:dyDescent="0.15">
      <c r="A581" s="496" t="s">
        <v>4895</v>
      </c>
      <c r="B581" s="497">
        <v>42591</v>
      </c>
      <c r="C581" s="498" t="s">
        <v>2317</v>
      </c>
      <c r="D581" s="499">
        <v>5</v>
      </c>
      <c r="E581" s="498" t="s">
        <v>3500</v>
      </c>
      <c r="F581" s="500">
        <v>7.175925925925927E-4</v>
      </c>
      <c r="G581" s="498"/>
      <c r="H581" s="498"/>
      <c r="I581" s="501" t="s">
        <v>3977</v>
      </c>
      <c r="J581" s="502" t="s">
        <v>5459</v>
      </c>
    </row>
    <row r="582" spans="1:10" s="251" customFormat="1" ht="12" customHeight="1" x14ac:dyDescent="0.15">
      <c r="A582" s="489" t="s">
        <v>2155</v>
      </c>
      <c r="B582" s="490">
        <v>42592</v>
      </c>
      <c r="C582" s="491" t="s">
        <v>2293</v>
      </c>
      <c r="D582" s="492">
        <v>4</v>
      </c>
      <c r="E582" s="491" t="s">
        <v>3500</v>
      </c>
      <c r="F582" s="493">
        <v>5.7175925925925927E-4</v>
      </c>
      <c r="G582" s="491"/>
      <c r="H582" s="491"/>
      <c r="I582" s="494" t="s">
        <v>4363</v>
      </c>
      <c r="J582" s="495"/>
    </row>
    <row r="583" spans="1:10" s="251" customFormat="1" ht="12" customHeight="1" thickBot="1" x14ac:dyDescent="0.2">
      <c r="A583" s="489" t="s">
        <v>2487</v>
      </c>
      <c r="B583" s="490">
        <v>42596</v>
      </c>
      <c r="C583" s="491" t="s">
        <v>4748</v>
      </c>
      <c r="D583" s="492">
        <v>4</v>
      </c>
      <c r="E583" s="491" t="s">
        <v>3500</v>
      </c>
      <c r="F583" s="493">
        <v>5.6018518518518516E-4</v>
      </c>
      <c r="G583" s="491"/>
      <c r="H583" s="491"/>
      <c r="I583" s="503" t="s">
        <v>5465</v>
      </c>
      <c r="J583" s="495"/>
    </row>
    <row r="584" spans="1:10" s="251" customFormat="1" ht="12" customHeight="1" x14ac:dyDescent="0.15">
      <c r="A584" s="540" t="s">
        <v>1897</v>
      </c>
      <c r="B584" s="253">
        <v>42603</v>
      </c>
      <c r="C584" s="254" t="s">
        <v>4778</v>
      </c>
      <c r="D584" s="255">
        <v>5</v>
      </c>
      <c r="E584" s="342" t="s">
        <v>3500</v>
      </c>
      <c r="F584" s="256">
        <v>7.361111111111111E-4</v>
      </c>
      <c r="G584" s="254"/>
      <c r="H584" s="254"/>
      <c r="I584" s="257" t="s">
        <v>5491</v>
      </c>
      <c r="J584" s="258"/>
    </row>
    <row r="585" spans="1:10" s="251" customFormat="1" ht="12" customHeight="1" x14ac:dyDescent="0.15">
      <c r="A585" s="489" t="s">
        <v>3158</v>
      </c>
      <c r="B585" s="490">
        <v>42602</v>
      </c>
      <c r="C585" s="491" t="s">
        <v>1950</v>
      </c>
      <c r="D585" s="492">
        <v>4</v>
      </c>
      <c r="E585" s="491" t="s">
        <v>3500</v>
      </c>
      <c r="F585" s="493">
        <v>5.7407407407407407E-4</v>
      </c>
      <c r="G585" s="491"/>
      <c r="H585" s="491"/>
      <c r="I585" s="494" t="s">
        <v>5492</v>
      </c>
      <c r="J585" s="495"/>
    </row>
    <row r="586" spans="1:10" s="251" customFormat="1" ht="12" customHeight="1" x14ac:dyDescent="0.15">
      <c r="A586" s="489" t="s">
        <v>3266</v>
      </c>
      <c r="B586" s="490">
        <v>42602</v>
      </c>
      <c r="C586" s="491" t="s">
        <v>1950</v>
      </c>
      <c r="D586" s="492">
        <v>4</v>
      </c>
      <c r="E586" s="491" t="s">
        <v>3500</v>
      </c>
      <c r="F586" s="493">
        <v>5.6458333333333339E-4</v>
      </c>
      <c r="G586" s="491"/>
      <c r="H586" s="491"/>
      <c r="I586" s="494" t="s">
        <v>5493</v>
      </c>
      <c r="J586" s="495"/>
    </row>
    <row r="587" spans="1:10" s="251" customFormat="1" ht="12" customHeight="1" x14ac:dyDescent="0.15">
      <c r="A587" s="489" t="s">
        <v>2227</v>
      </c>
      <c r="B587" s="490">
        <v>42602</v>
      </c>
      <c r="C587" s="491" t="s">
        <v>1950</v>
      </c>
      <c r="D587" s="492">
        <v>5</v>
      </c>
      <c r="E587" s="491" t="s">
        <v>3500</v>
      </c>
      <c r="F587" s="493">
        <v>7.2870370370370363E-4</v>
      </c>
      <c r="G587" s="491"/>
      <c r="H587" s="491"/>
      <c r="I587" s="494" t="s">
        <v>5494</v>
      </c>
      <c r="J587" s="495"/>
    </row>
    <row r="588" spans="1:10" s="251" customFormat="1" ht="12" customHeight="1" x14ac:dyDescent="0.15">
      <c r="A588" s="489" t="s">
        <v>2475</v>
      </c>
      <c r="B588" s="490">
        <v>42602</v>
      </c>
      <c r="C588" s="491" t="s">
        <v>2293</v>
      </c>
      <c r="D588" s="492">
        <v>3</v>
      </c>
      <c r="E588" s="491" t="s">
        <v>3500</v>
      </c>
      <c r="F588" s="493">
        <v>4.3981481481481481E-4</v>
      </c>
      <c r="G588" s="491"/>
      <c r="H588" s="491"/>
      <c r="I588" s="494" t="s">
        <v>5304</v>
      </c>
      <c r="J588" s="495"/>
    </row>
    <row r="589" spans="1:10" s="251" customFormat="1" ht="12" customHeight="1" x14ac:dyDescent="0.15">
      <c r="A589" s="489" t="s">
        <v>2157</v>
      </c>
      <c r="B589" s="490">
        <v>42602</v>
      </c>
      <c r="C589" s="491" t="s">
        <v>4778</v>
      </c>
      <c r="D589" s="492">
        <v>4</v>
      </c>
      <c r="E589" s="491" t="s">
        <v>3500</v>
      </c>
      <c r="F589" s="493">
        <v>6.134259259259259E-4</v>
      </c>
      <c r="G589" s="491"/>
      <c r="H589" s="491"/>
      <c r="I589" s="494" t="s">
        <v>3987</v>
      </c>
      <c r="J589" s="495"/>
    </row>
    <row r="590" spans="1:10" s="251" customFormat="1" ht="12" customHeight="1" x14ac:dyDescent="0.15">
      <c r="A590" s="489" t="s">
        <v>3178</v>
      </c>
      <c r="B590" s="490">
        <v>42602</v>
      </c>
      <c r="C590" s="491" t="s">
        <v>1950</v>
      </c>
      <c r="D590" s="492">
        <v>3</v>
      </c>
      <c r="E590" s="491" t="s">
        <v>3500</v>
      </c>
      <c r="F590" s="493">
        <v>4.3333333333333331E-4</v>
      </c>
      <c r="G590" s="491"/>
      <c r="H590" s="491"/>
      <c r="I590" s="494" t="s">
        <v>5496</v>
      </c>
      <c r="J590" s="495"/>
    </row>
    <row r="591" spans="1:10" s="251" customFormat="1" ht="12" customHeight="1" x14ac:dyDescent="0.15">
      <c r="A591" s="489" t="s">
        <v>3355</v>
      </c>
      <c r="B591" s="490">
        <v>42601</v>
      </c>
      <c r="C591" s="491" t="s">
        <v>1950</v>
      </c>
      <c r="D591" s="492">
        <v>5</v>
      </c>
      <c r="E591" s="491" t="s">
        <v>3500</v>
      </c>
      <c r="F591" s="493">
        <v>7.3101851851851843E-4</v>
      </c>
      <c r="G591" s="491"/>
      <c r="H591" s="491"/>
      <c r="I591" s="494" t="s">
        <v>4608</v>
      </c>
      <c r="J591" s="495"/>
    </row>
    <row r="592" spans="1:10" s="251" customFormat="1" ht="12" customHeight="1" x14ac:dyDescent="0.15">
      <c r="A592" s="489" t="s">
        <v>3340</v>
      </c>
      <c r="B592" s="490">
        <v>42601</v>
      </c>
      <c r="C592" s="518" t="s">
        <v>1950</v>
      </c>
      <c r="D592" s="492">
        <v>5</v>
      </c>
      <c r="E592" s="491" t="s">
        <v>3500</v>
      </c>
      <c r="F592" s="493">
        <v>7.1782407407407418E-4</v>
      </c>
      <c r="G592" s="491"/>
      <c r="H592" s="491"/>
      <c r="I592" s="494" t="s">
        <v>4705</v>
      </c>
      <c r="J592" s="495"/>
    </row>
    <row r="593" spans="1:10" s="597" customFormat="1" ht="12" customHeight="1" x14ac:dyDescent="0.15">
      <c r="A593" s="590" t="s">
        <v>3607</v>
      </c>
      <c r="B593" s="591">
        <v>42600</v>
      </c>
      <c r="C593" s="592" t="s">
        <v>1950</v>
      </c>
      <c r="D593" s="593">
        <v>5</v>
      </c>
      <c r="E593" s="592" t="s">
        <v>3500</v>
      </c>
      <c r="F593" s="594">
        <v>7.58912037037037E-4</v>
      </c>
      <c r="G593" s="592" t="s">
        <v>961</v>
      </c>
      <c r="H593" s="592"/>
      <c r="I593" s="595" t="s">
        <v>964</v>
      </c>
      <c r="J593" s="596"/>
    </row>
    <row r="594" spans="1:10" s="251" customFormat="1" ht="12" customHeight="1" x14ac:dyDescent="0.15">
      <c r="A594" s="489" t="s">
        <v>2170</v>
      </c>
      <c r="B594" s="490">
        <v>42599</v>
      </c>
      <c r="C594" s="491" t="s">
        <v>3205</v>
      </c>
      <c r="D594" s="492">
        <v>3</v>
      </c>
      <c r="E594" s="491" t="s">
        <v>3500</v>
      </c>
      <c r="F594" s="493">
        <v>4.3055555555555555E-4</v>
      </c>
      <c r="G594" s="491"/>
      <c r="H594" s="491"/>
      <c r="I594" s="494" t="s">
        <v>2232</v>
      </c>
      <c r="J594" s="495"/>
    </row>
    <row r="595" spans="1:10" s="251" customFormat="1" ht="12" customHeight="1" x14ac:dyDescent="0.15">
      <c r="A595" s="489" t="s">
        <v>2478</v>
      </c>
      <c r="B595" s="490">
        <v>42599</v>
      </c>
      <c r="C595" s="491" t="s">
        <v>5324</v>
      </c>
      <c r="D595" s="492">
        <v>4</v>
      </c>
      <c r="E595" s="491" t="s">
        <v>3500</v>
      </c>
      <c r="F595" s="493">
        <v>5.8101851851851858E-4</v>
      </c>
      <c r="G595" s="491"/>
      <c r="H595" s="491"/>
      <c r="I595" s="494" t="s">
        <v>4489</v>
      </c>
      <c r="J595" s="495"/>
    </row>
    <row r="596" spans="1:10" s="251" customFormat="1" ht="12" customHeight="1" x14ac:dyDescent="0.15">
      <c r="A596" s="489" t="s">
        <v>1816</v>
      </c>
      <c r="B596" s="490">
        <v>42601</v>
      </c>
      <c r="C596" s="491" t="s">
        <v>4778</v>
      </c>
      <c r="D596" s="492">
        <v>5</v>
      </c>
      <c r="E596" s="491" t="s">
        <v>3501</v>
      </c>
      <c r="F596" s="493">
        <v>6.9907407407407407E-4</v>
      </c>
      <c r="G596" s="491"/>
      <c r="H596" s="491"/>
      <c r="I596" s="494" t="s">
        <v>5497</v>
      </c>
      <c r="J596" s="495" t="s">
        <v>2383</v>
      </c>
    </row>
    <row r="597" spans="1:10" s="618" customFormat="1" ht="12" customHeight="1" x14ac:dyDescent="0.15">
      <c r="A597" s="611" t="s">
        <v>3099</v>
      </c>
      <c r="B597" s="612">
        <v>42599</v>
      </c>
      <c r="C597" s="613" t="s">
        <v>2293</v>
      </c>
      <c r="D597" s="614">
        <v>4</v>
      </c>
      <c r="E597" s="613" t="s">
        <v>3500</v>
      </c>
      <c r="F597" s="615">
        <v>5.5555555555555556E-4</v>
      </c>
      <c r="G597" s="613"/>
      <c r="H597" s="613"/>
      <c r="I597" s="616" t="s">
        <v>3979</v>
      </c>
      <c r="J597" s="617"/>
    </row>
    <row r="598" spans="1:10" s="252" customFormat="1" ht="12" customHeight="1" x14ac:dyDescent="0.15">
      <c r="A598" s="496" t="s">
        <v>1666</v>
      </c>
      <c r="B598" s="497">
        <v>42597</v>
      </c>
      <c r="C598" s="498" t="s">
        <v>1035</v>
      </c>
      <c r="D598" s="499">
        <v>4</v>
      </c>
      <c r="E598" s="498" t="s">
        <v>3500</v>
      </c>
      <c r="F598" s="500">
        <v>5.3935185185185195E-4</v>
      </c>
      <c r="G598" s="498"/>
      <c r="H598" s="498"/>
      <c r="I598" s="501" t="s">
        <v>4835</v>
      </c>
      <c r="J598" s="502"/>
    </row>
    <row r="599" spans="1:10" s="251" customFormat="1" ht="12" customHeight="1" x14ac:dyDescent="0.15">
      <c r="A599" s="489" t="s">
        <v>1672</v>
      </c>
      <c r="B599" s="490">
        <v>42598</v>
      </c>
      <c r="C599" s="491" t="s">
        <v>4464</v>
      </c>
      <c r="D599" s="492">
        <v>3</v>
      </c>
      <c r="E599" s="491" t="s">
        <v>3500</v>
      </c>
      <c r="F599" s="493">
        <v>4.4212962962962961E-4</v>
      </c>
      <c r="G599" s="491" t="s">
        <v>961</v>
      </c>
      <c r="H599" s="491"/>
      <c r="I599" s="494" t="s">
        <v>4328</v>
      </c>
      <c r="J599" s="495" t="s">
        <v>4226</v>
      </c>
    </row>
    <row r="600" spans="1:10" s="251" customFormat="1" ht="12" customHeight="1" x14ac:dyDescent="0.15">
      <c r="A600" s="489" t="s">
        <v>3177</v>
      </c>
      <c r="B600" s="490">
        <v>42602</v>
      </c>
      <c r="C600" s="491" t="s">
        <v>2317</v>
      </c>
      <c r="D600" s="492">
        <v>3</v>
      </c>
      <c r="E600" s="491" t="s">
        <v>3500</v>
      </c>
      <c r="F600" s="493">
        <v>4.4444444444444441E-4</v>
      </c>
      <c r="G600" s="491"/>
      <c r="H600" s="491"/>
      <c r="I600" s="494" t="s">
        <v>5364</v>
      </c>
      <c r="J600" s="495" t="s">
        <v>2428</v>
      </c>
    </row>
    <row r="601" spans="1:10" s="251" customFormat="1" ht="12" customHeight="1" x14ac:dyDescent="0.15">
      <c r="A601" s="489" t="s">
        <v>2177</v>
      </c>
      <c r="B601" s="490">
        <v>42602</v>
      </c>
      <c r="C601" s="491" t="s">
        <v>2317</v>
      </c>
      <c r="D601" s="492">
        <v>3</v>
      </c>
      <c r="E601" s="491" t="s">
        <v>3500</v>
      </c>
      <c r="F601" s="493">
        <v>4.4444444444444441E-4</v>
      </c>
      <c r="G601" s="491"/>
      <c r="H601" s="491"/>
      <c r="I601" s="494" t="s">
        <v>5364</v>
      </c>
      <c r="J601" s="495"/>
    </row>
    <row r="602" spans="1:10" s="597" customFormat="1" ht="12" customHeight="1" x14ac:dyDescent="0.15">
      <c r="A602" s="590" t="s">
        <v>2484</v>
      </c>
      <c r="B602" s="591">
        <v>42597</v>
      </c>
      <c r="C602" s="592" t="s">
        <v>2293</v>
      </c>
      <c r="D602" s="593">
        <v>3</v>
      </c>
      <c r="E602" s="592" t="s">
        <v>3500</v>
      </c>
      <c r="F602" s="594">
        <v>4.236111111111111E-4</v>
      </c>
      <c r="G602" s="592"/>
      <c r="H602" s="592"/>
      <c r="I602" s="595" t="s">
        <v>3980</v>
      </c>
      <c r="J602" s="596"/>
    </row>
    <row r="603" spans="1:10" s="597" customFormat="1" ht="12" customHeight="1" x14ac:dyDescent="0.15">
      <c r="A603" s="590" t="s">
        <v>2487</v>
      </c>
      <c r="B603" s="591">
        <v>42603</v>
      </c>
      <c r="C603" s="592" t="s">
        <v>4748</v>
      </c>
      <c r="D603" s="593">
        <v>4</v>
      </c>
      <c r="E603" s="592" t="s">
        <v>3500</v>
      </c>
      <c r="F603" s="594">
        <v>5.7638888888888887E-4</v>
      </c>
      <c r="G603" s="592"/>
      <c r="H603" s="592"/>
      <c r="I603" s="595" t="s">
        <v>5503</v>
      </c>
      <c r="J603" s="596"/>
    </row>
    <row r="604" spans="1:10" s="251" customFormat="1" ht="12" customHeight="1" thickBot="1" x14ac:dyDescent="0.2">
      <c r="A604" s="489" t="s">
        <v>2155</v>
      </c>
      <c r="B604" s="490">
        <v>42599</v>
      </c>
      <c r="C604" s="491" t="s">
        <v>2293</v>
      </c>
      <c r="D604" s="492">
        <v>4</v>
      </c>
      <c r="E604" s="491" t="s">
        <v>3500</v>
      </c>
      <c r="F604" s="493">
        <v>5.6944444444444447E-4</v>
      </c>
      <c r="G604" s="491"/>
      <c r="H604" s="491"/>
      <c r="I604" s="503" t="s">
        <v>5499</v>
      </c>
      <c r="J604" s="495"/>
    </row>
    <row r="605" spans="1:10" s="251" customFormat="1" ht="12" customHeight="1" x14ac:dyDescent="0.15">
      <c r="A605" s="540" t="s">
        <v>1943</v>
      </c>
      <c r="B605" s="253">
        <v>42604</v>
      </c>
      <c r="C605" s="254" t="s">
        <v>4715</v>
      </c>
      <c r="D605" s="255">
        <v>4</v>
      </c>
      <c r="E605" s="342" t="s">
        <v>3500</v>
      </c>
      <c r="F605" s="256">
        <v>5.6018518518518516E-4</v>
      </c>
      <c r="G605" s="254"/>
      <c r="H605" s="254"/>
      <c r="I605" s="257" t="s">
        <v>5530</v>
      </c>
      <c r="J605" s="258"/>
    </row>
    <row r="606" spans="1:10" s="251" customFormat="1" ht="12" customHeight="1" x14ac:dyDescent="0.15">
      <c r="A606" s="599" t="s">
        <v>1672</v>
      </c>
      <c r="B606" s="568">
        <v>42604</v>
      </c>
      <c r="C606" s="569" t="s">
        <v>4464</v>
      </c>
      <c r="D606" s="570">
        <v>4</v>
      </c>
      <c r="E606" s="600" t="s">
        <v>3500</v>
      </c>
      <c r="F606" s="571">
        <v>5.7638888888888887E-4</v>
      </c>
      <c r="G606" s="569"/>
      <c r="H606" s="569"/>
      <c r="I606" s="572" t="s">
        <v>4327</v>
      </c>
      <c r="J606" s="573"/>
    </row>
    <row r="607" spans="1:10" s="251" customFormat="1" ht="12" customHeight="1" x14ac:dyDescent="0.15">
      <c r="A607" s="599" t="s">
        <v>1294</v>
      </c>
      <c r="B607" s="568">
        <v>42606</v>
      </c>
      <c r="C607" s="569" t="s">
        <v>4721</v>
      </c>
      <c r="D607" s="570">
        <v>5</v>
      </c>
      <c r="E607" s="600" t="s">
        <v>3500</v>
      </c>
      <c r="F607" s="571">
        <v>7.337962962962963E-4</v>
      </c>
      <c r="G607" s="569" t="s">
        <v>961</v>
      </c>
      <c r="H607" s="569"/>
      <c r="I607" s="572" t="s">
        <v>2232</v>
      </c>
      <c r="J607" s="573"/>
    </row>
    <row r="608" spans="1:10" s="597" customFormat="1" ht="12" customHeight="1" x14ac:dyDescent="0.15">
      <c r="A608" s="590" t="s">
        <v>3099</v>
      </c>
      <c r="B608" s="591">
        <v>42605</v>
      </c>
      <c r="C608" s="592" t="s">
        <v>2293</v>
      </c>
      <c r="D608" s="593">
        <v>4</v>
      </c>
      <c r="E608" s="592" t="s">
        <v>3500</v>
      </c>
      <c r="F608" s="594">
        <v>5.5787037037037036E-4</v>
      </c>
      <c r="G608" s="592"/>
      <c r="H608" s="592"/>
      <c r="I608" s="595" t="s">
        <v>3287</v>
      </c>
      <c r="J608" s="596"/>
    </row>
    <row r="609" spans="1:10" s="597" customFormat="1" ht="12" customHeight="1" x14ac:dyDescent="0.15">
      <c r="A609" s="590" t="s">
        <v>3795</v>
      </c>
      <c r="B609" s="591">
        <v>42606</v>
      </c>
      <c r="C609" s="592" t="s">
        <v>5270</v>
      </c>
      <c r="D609" s="593">
        <v>4</v>
      </c>
      <c r="E609" s="592" t="s">
        <v>3500</v>
      </c>
      <c r="F609" s="594">
        <v>5.9432870370370369E-4</v>
      </c>
      <c r="G609" s="592"/>
      <c r="H609" s="592"/>
      <c r="I609" s="595" t="s">
        <v>5535</v>
      </c>
      <c r="J609" s="596"/>
    </row>
    <row r="610" spans="1:10" s="597" customFormat="1" ht="12" customHeight="1" x14ac:dyDescent="0.15">
      <c r="A610" s="590" t="s">
        <v>2487</v>
      </c>
      <c r="B610" s="591">
        <v>42610</v>
      </c>
      <c r="C610" s="592" t="s">
        <v>4748</v>
      </c>
      <c r="D610" s="593">
        <v>4</v>
      </c>
      <c r="E610" s="592" t="s">
        <v>3500</v>
      </c>
      <c r="F610" s="594">
        <v>5.6712962962962956E-4</v>
      </c>
      <c r="G610" s="592"/>
      <c r="H610" s="592"/>
      <c r="I610" s="595" t="s">
        <v>4277</v>
      </c>
      <c r="J610" s="596"/>
    </row>
    <row r="611" spans="1:10" s="597" customFormat="1" ht="12" customHeight="1" x14ac:dyDescent="0.15">
      <c r="A611" s="590" t="s">
        <v>3901</v>
      </c>
      <c r="B611" s="591">
        <v>42610</v>
      </c>
      <c r="C611" s="592" t="s">
        <v>2293</v>
      </c>
      <c r="D611" s="593">
        <v>4</v>
      </c>
      <c r="E611" s="592" t="s">
        <v>3500</v>
      </c>
      <c r="F611" s="594">
        <v>5.7407407407407407E-4</v>
      </c>
      <c r="G611" s="592"/>
      <c r="H611" s="592"/>
      <c r="I611" s="595" t="s">
        <v>4849</v>
      </c>
      <c r="J611" s="596" t="s">
        <v>5582</v>
      </c>
    </row>
    <row r="612" spans="1:10" s="597" customFormat="1" ht="12" customHeight="1" x14ac:dyDescent="0.15">
      <c r="A612" s="590" t="s">
        <v>2425</v>
      </c>
      <c r="B612" s="591">
        <v>42608</v>
      </c>
      <c r="C612" s="592" t="s">
        <v>4807</v>
      </c>
      <c r="D612" s="593">
        <v>3</v>
      </c>
      <c r="E612" s="592" t="s">
        <v>3500</v>
      </c>
      <c r="F612" s="594">
        <v>4.4675925925925921E-4</v>
      </c>
      <c r="G612" s="592"/>
      <c r="H612" s="592"/>
      <c r="I612" s="595" t="s">
        <v>5536</v>
      </c>
      <c r="J612" s="596" t="s">
        <v>5537</v>
      </c>
    </row>
    <row r="613" spans="1:10" s="251" customFormat="1" ht="12" customHeight="1" x14ac:dyDescent="0.15">
      <c r="A613" s="489" t="s">
        <v>1897</v>
      </c>
      <c r="B613" s="490">
        <v>42609</v>
      </c>
      <c r="C613" s="491" t="s">
        <v>4778</v>
      </c>
      <c r="D613" s="492">
        <v>5</v>
      </c>
      <c r="E613" s="491" t="s">
        <v>3500</v>
      </c>
      <c r="F613" s="493">
        <v>7.361111111111111E-4</v>
      </c>
      <c r="G613" s="491"/>
      <c r="H613" s="491"/>
      <c r="I613" s="494" t="s">
        <v>5575</v>
      </c>
      <c r="J613" s="495" t="s">
        <v>5577</v>
      </c>
    </row>
    <row r="614" spans="1:10" s="251" customFormat="1" ht="12" customHeight="1" x14ac:dyDescent="0.15">
      <c r="A614" s="567" t="s">
        <v>3221</v>
      </c>
      <c r="B614" s="568">
        <v>42610</v>
      </c>
      <c r="C614" s="569" t="s">
        <v>2317</v>
      </c>
      <c r="D614" s="570">
        <v>3</v>
      </c>
      <c r="E614" s="569" t="s">
        <v>3500</v>
      </c>
      <c r="F614" s="571">
        <v>4.6759259259259258E-4</v>
      </c>
      <c r="G614" s="569"/>
      <c r="H614" s="569"/>
      <c r="I614" s="572" t="s">
        <v>5584</v>
      </c>
      <c r="J614" s="573" t="s">
        <v>4233</v>
      </c>
    </row>
    <row r="615" spans="1:10" s="251" customFormat="1" ht="12" customHeight="1" x14ac:dyDescent="0.15">
      <c r="A615" s="599" t="s">
        <v>3179</v>
      </c>
      <c r="B615" s="568">
        <v>42605</v>
      </c>
      <c r="C615" s="569" t="s">
        <v>4807</v>
      </c>
      <c r="D615" s="570">
        <v>3</v>
      </c>
      <c r="E615" s="600" t="s">
        <v>3500</v>
      </c>
      <c r="F615" s="571">
        <v>4.3287037037037035E-4</v>
      </c>
      <c r="G615" s="569"/>
      <c r="H615" s="569"/>
      <c r="I615" s="572" t="s">
        <v>5533</v>
      </c>
      <c r="J615" s="573" t="s">
        <v>2428</v>
      </c>
    </row>
    <row r="616" spans="1:10" s="251" customFormat="1" ht="12" customHeight="1" x14ac:dyDescent="0.15">
      <c r="A616" s="599" t="s">
        <v>5572</v>
      </c>
      <c r="B616" s="568">
        <v>42609</v>
      </c>
      <c r="C616" s="569" t="s">
        <v>3200</v>
      </c>
      <c r="D616" s="570">
        <v>3</v>
      </c>
      <c r="E616" s="600" t="s">
        <v>3500</v>
      </c>
      <c r="F616" s="571">
        <v>4.6990740740740738E-4</v>
      </c>
      <c r="G616" s="569"/>
      <c r="H616" s="569"/>
      <c r="I616" s="572" t="s">
        <v>5573</v>
      </c>
      <c r="J616" s="573" t="s">
        <v>5574</v>
      </c>
    </row>
    <row r="617" spans="1:10" s="251" customFormat="1" ht="12" customHeight="1" x14ac:dyDescent="0.15">
      <c r="A617" s="489" t="s">
        <v>3177</v>
      </c>
      <c r="B617" s="490">
        <v>42607</v>
      </c>
      <c r="C617" s="491" t="s">
        <v>2317</v>
      </c>
      <c r="D617" s="492">
        <v>3</v>
      </c>
      <c r="E617" s="491" t="s">
        <v>3500</v>
      </c>
      <c r="F617" s="493">
        <v>4.4444444444444441E-4</v>
      </c>
      <c r="G617" s="491"/>
      <c r="H617" s="491" t="s">
        <v>1249</v>
      </c>
      <c r="I617" s="494" t="s">
        <v>3977</v>
      </c>
      <c r="J617" s="495" t="s">
        <v>2310</v>
      </c>
    </row>
    <row r="618" spans="1:10" s="597" customFormat="1" ht="12" customHeight="1" x14ac:dyDescent="0.15">
      <c r="A618" s="590" t="s">
        <v>2469</v>
      </c>
      <c r="B618" s="591">
        <v>42604</v>
      </c>
      <c r="C618" s="592" t="s">
        <v>1950</v>
      </c>
      <c r="D618" s="593">
        <v>4</v>
      </c>
      <c r="E618" s="592" t="s">
        <v>3500</v>
      </c>
      <c r="F618" s="594">
        <v>5.6932870370370373E-4</v>
      </c>
      <c r="G618" s="592"/>
      <c r="H618" s="592" t="s">
        <v>1249</v>
      </c>
      <c r="I618" s="595" t="s">
        <v>5531</v>
      </c>
      <c r="J618" s="596" t="s">
        <v>5532</v>
      </c>
    </row>
    <row r="619" spans="1:10" s="251" customFormat="1" ht="12" customHeight="1" x14ac:dyDescent="0.15">
      <c r="A619" s="489" t="s">
        <v>3430</v>
      </c>
      <c r="B619" s="490">
        <v>42609</v>
      </c>
      <c r="C619" s="491" t="s">
        <v>1035</v>
      </c>
      <c r="D619" s="492">
        <v>3</v>
      </c>
      <c r="E619" s="491" t="s">
        <v>3500</v>
      </c>
      <c r="F619" s="493">
        <v>4.5601851851851852E-4</v>
      </c>
      <c r="G619" s="491"/>
      <c r="H619" s="491"/>
      <c r="I619" s="494" t="s">
        <v>4060</v>
      </c>
      <c r="J619" s="495" t="s">
        <v>5570</v>
      </c>
    </row>
    <row r="620" spans="1:10" s="251" customFormat="1" ht="12" customHeight="1" x14ac:dyDescent="0.15">
      <c r="A620" s="489" t="s">
        <v>2127</v>
      </c>
      <c r="B620" s="490">
        <v>42606</v>
      </c>
      <c r="C620" s="491" t="s">
        <v>3193</v>
      </c>
      <c r="D620" s="492">
        <v>3</v>
      </c>
      <c r="E620" s="491" t="s">
        <v>3500</v>
      </c>
      <c r="F620" s="493">
        <v>4.1666666666666669E-4</v>
      </c>
      <c r="G620" s="491"/>
      <c r="H620" s="491"/>
      <c r="I620" s="494" t="s">
        <v>1210</v>
      </c>
      <c r="J620" s="495" t="s">
        <v>2383</v>
      </c>
    </row>
    <row r="621" spans="1:10" s="251" customFormat="1" ht="12" customHeight="1" x14ac:dyDescent="0.15">
      <c r="A621" s="489" t="s">
        <v>2143</v>
      </c>
      <c r="B621" s="490">
        <v>42609</v>
      </c>
      <c r="C621" s="491" t="s">
        <v>2315</v>
      </c>
      <c r="D621" s="492">
        <v>4</v>
      </c>
      <c r="E621" s="491" t="s">
        <v>3501</v>
      </c>
      <c r="F621" s="493">
        <v>5.4942129629629633E-4</v>
      </c>
      <c r="G621" s="491"/>
      <c r="H621" s="491"/>
      <c r="I621" s="494" t="s">
        <v>5562</v>
      </c>
      <c r="J621" s="495" t="s">
        <v>5563</v>
      </c>
    </row>
    <row r="622" spans="1:10" s="251" customFormat="1" ht="12" customHeight="1" x14ac:dyDescent="0.15">
      <c r="A622" s="489" t="s">
        <v>4391</v>
      </c>
      <c r="B622" s="490">
        <v>42609</v>
      </c>
      <c r="C622" s="491" t="s">
        <v>4778</v>
      </c>
      <c r="D622" s="492">
        <v>4</v>
      </c>
      <c r="E622" s="491" t="s">
        <v>3500</v>
      </c>
      <c r="F622" s="493">
        <v>5.8796296296296287E-4</v>
      </c>
      <c r="G622" s="491"/>
      <c r="H622" s="491"/>
      <c r="I622" s="494" t="s">
        <v>5214</v>
      </c>
      <c r="J622" s="495" t="s">
        <v>5571</v>
      </c>
    </row>
    <row r="623" spans="1:10" s="251" customFormat="1" ht="12" customHeight="1" x14ac:dyDescent="0.15">
      <c r="A623" s="489" t="s">
        <v>1529</v>
      </c>
      <c r="B623" s="490">
        <v>42606</v>
      </c>
      <c r="C623" s="491" t="s">
        <v>2315</v>
      </c>
      <c r="D623" s="492">
        <v>4</v>
      </c>
      <c r="E623" s="491" t="s">
        <v>3500</v>
      </c>
      <c r="F623" s="493">
        <v>5.6099537037037034E-4</v>
      </c>
      <c r="G623" s="491"/>
      <c r="H623" s="491"/>
      <c r="I623" s="503" t="s">
        <v>3270</v>
      </c>
      <c r="J623" s="495" t="s">
        <v>5542</v>
      </c>
    </row>
    <row r="624" spans="1:10" s="251" customFormat="1" ht="12" customHeight="1" x14ac:dyDescent="0.15">
      <c r="A624" s="489" t="s">
        <v>1666</v>
      </c>
      <c r="B624" s="490">
        <v>42608</v>
      </c>
      <c r="C624" s="491" t="s">
        <v>1035</v>
      </c>
      <c r="D624" s="492">
        <v>3</v>
      </c>
      <c r="E624" s="491" t="s">
        <v>3500</v>
      </c>
      <c r="F624" s="493">
        <v>4.259259259259259E-4</v>
      </c>
      <c r="G624" s="491"/>
      <c r="H624" s="491"/>
      <c r="I624" s="494" t="s">
        <v>2361</v>
      </c>
      <c r="J624" s="646" t="s">
        <v>5539</v>
      </c>
    </row>
    <row r="625" spans="1:10" s="251" customFormat="1" ht="12" customHeight="1" x14ac:dyDescent="0.15">
      <c r="A625" s="489" t="s">
        <v>1816</v>
      </c>
      <c r="B625" s="490">
        <v>42608</v>
      </c>
      <c r="C625" s="491" t="s">
        <v>4778</v>
      </c>
      <c r="D625" s="492">
        <v>4</v>
      </c>
      <c r="E625" s="491" t="s">
        <v>3500</v>
      </c>
      <c r="F625" s="493">
        <v>5.7407407407407407E-4</v>
      </c>
      <c r="G625" s="491"/>
      <c r="H625" s="491"/>
      <c r="I625" s="494" t="s">
        <v>5538</v>
      </c>
      <c r="J625" s="647"/>
    </row>
    <row r="626" spans="1:10" s="252" customFormat="1" ht="12" customHeight="1" x14ac:dyDescent="0.15">
      <c r="A626" s="496" t="s">
        <v>5068</v>
      </c>
      <c r="B626" s="497">
        <v>42609</v>
      </c>
      <c r="C626" s="498" t="s">
        <v>5069</v>
      </c>
      <c r="D626" s="499">
        <v>5</v>
      </c>
      <c r="E626" s="498" t="s">
        <v>3501</v>
      </c>
      <c r="F626" s="500">
        <v>6.9444444444444447E-4</v>
      </c>
      <c r="G626" s="498"/>
      <c r="H626" s="498"/>
      <c r="I626" s="501" t="s">
        <v>5569</v>
      </c>
      <c r="J626" s="641" t="s">
        <v>5568</v>
      </c>
    </row>
    <row r="627" spans="1:10" s="252" customFormat="1" ht="12" customHeight="1" x14ac:dyDescent="0.15">
      <c r="A627" s="496" t="s">
        <v>2177</v>
      </c>
      <c r="B627" s="497">
        <v>42610</v>
      </c>
      <c r="C627" s="498" t="s">
        <v>5189</v>
      </c>
      <c r="D627" s="499">
        <v>4</v>
      </c>
      <c r="E627" s="498" t="s">
        <v>3500</v>
      </c>
      <c r="F627" s="500">
        <v>5.6018518518518516E-4</v>
      </c>
      <c r="G627" s="498"/>
      <c r="H627" s="498"/>
      <c r="I627" s="501" t="s">
        <v>5237</v>
      </c>
      <c r="J627" s="641"/>
    </row>
    <row r="628" spans="1:10" s="251" customFormat="1" ht="12" customHeight="1" x14ac:dyDescent="0.15">
      <c r="A628" s="489" t="s">
        <v>1953</v>
      </c>
      <c r="B628" s="490">
        <v>42608</v>
      </c>
      <c r="C628" s="491" t="s">
        <v>5189</v>
      </c>
      <c r="D628" s="492">
        <v>4</v>
      </c>
      <c r="E628" s="491" t="s">
        <v>3500</v>
      </c>
      <c r="F628" s="493">
        <v>5.6481481481481476E-4</v>
      </c>
      <c r="G628" s="491"/>
      <c r="H628" s="491"/>
      <c r="I628" s="494" t="s">
        <v>4098</v>
      </c>
      <c r="J628" s="495"/>
    </row>
    <row r="629" spans="1:10" s="251" customFormat="1" ht="12" customHeight="1" x14ac:dyDescent="0.15">
      <c r="A629" s="489" t="s">
        <v>2480</v>
      </c>
      <c r="B629" s="490">
        <v>42610</v>
      </c>
      <c r="C629" s="491" t="s">
        <v>1948</v>
      </c>
      <c r="D629" s="492">
        <v>3</v>
      </c>
      <c r="E629" s="491" t="s">
        <v>3500</v>
      </c>
      <c r="F629" s="493">
        <v>4.4259259259259268E-4</v>
      </c>
      <c r="G629" s="491"/>
      <c r="H629" s="491"/>
      <c r="I629" s="494" t="s">
        <v>4531</v>
      </c>
      <c r="J629" s="495"/>
    </row>
    <row r="630" spans="1:10" s="251" customFormat="1" ht="12" customHeight="1" thickBot="1" x14ac:dyDescent="0.2">
      <c r="A630" s="489" t="s">
        <v>3355</v>
      </c>
      <c r="B630" s="490">
        <v>42610</v>
      </c>
      <c r="C630" s="491" t="s">
        <v>1950</v>
      </c>
      <c r="D630" s="492">
        <v>3</v>
      </c>
      <c r="E630" s="491" t="s">
        <v>3500</v>
      </c>
      <c r="F630" s="493">
        <v>4.2858796296296292E-4</v>
      </c>
      <c r="G630" s="491"/>
      <c r="H630" s="491"/>
      <c r="I630" s="503" t="s">
        <v>964</v>
      </c>
      <c r="J630" s="495"/>
    </row>
    <row r="631" spans="1:10" s="251" customFormat="1" ht="12" customHeight="1" x14ac:dyDescent="0.15">
      <c r="A631" s="540" t="s">
        <v>1295</v>
      </c>
      <c r="B631" s="253">
        <v>42611</v>
      </c>
      <c r="C631" s="254" t="s">
        <v>5593</v>
      </c>
      <c r="D631" s="255">
        <v>5</v>
      </c>
      <c r="E631" s="342" t="s">
        <v>3500</v>
      </c>
      <c r="F631" s="256">
        <v>7.4293981481481487E-4</v>
      </c>
      <c r="G631" s="254"/>
      <c r="H631" s="254"/>
      <c r="I631" s="257" t="s">
        <v>5059</v>
      </c>
      <c r="J631" s="258" t="s">
        <v>5594</v>
      </c>
    </row>
    <row r="632" spans="1:10" s="597" customFormat="1" ht="12" customHeight="1" x14ac:dyDescent="0.15">
      <c r="A632" s="590" t="s">
        <v>3606</v>
      </c>
      <c r="B632" s="591">
        <v>42613</v>
      </c>
      <c r="C632" s="592" t="s">
        <v>1950</v>
      </c>
      <c r="D632" s="593">
        <v>4</v>
      </c>
      <c r="E632" s="592" t="s">
        <v>3500</v>
      </c>
      <c r="F632" s="594">
        <v>5.8738425925925928E-4</v>
      </c>
      <c r="G632" s="592"/>
      <c r="H632" s="592"/>
      <c r="I632" s="595" t="s">
        <v>2479</v>
      </c>
      <c r="J632" s="596" t="s">
        <v>5624</v>
      </c>
    </row>
    <row r="633" spans="1:10" s="597" customFormat="1" ht="12" customHeight="1" x14ac:dyDescent="0.15">
      <c r="A633" s="590" t="s">
        <v>3318</v>
      </c>
      <c r="B633" s="591">
        <v>42614</v>
      </c>
      <c r="C633" s="592" t="s">
        <v>4278</v>
      </c>
      <c r="D633" s="593">
        <v>4</v>
      </c>
      <c r="E633" s="592" t="s">
        <v>3500</v>
      </c>
      <c r="F633" s="594">
        <v>5.8101851851851858E-4</v>
      </c>
      <c r="G633" s="592"/>
      <c r="H633" s="592"/>
      <c r="I633" s="595" t="s">
        <v>5619</v>
      </c>
      <c r="J633" s="596" t="s">
        <v>5625</v>
      </c>
    </row>
    <row r="634" spans="1:10" s="251" customFormat="1" ht="12" customHeight="1" x14ac:dyDescent="0.15">
      <c r="A634" s="489" t="s">
        <v>3427</v>
      </c>
      <c r="B634" s="490">
        <v>42616</v>
      </c>
      <c r="C634" s="491" t="s">
        <v>3193</v>
      </c>
      <c r="D634" s="492">
        <v>4</v>
      </c>
      <c r="E634" s="491" t="s">
        <v>3500</v>
      </c>
      <c r="F634" s="493">
        <v>5.9259259259259258E-4</v>
      </c>
      <c r="G634" s="491"/>
      <c r="H634" s="491"/>
      <c r="I634" s="494" t="s">
        <v>5643</v>
      </c>
      <c r="J634" s="495" t="s">
        <v>5645</v>
      </c>
    </row>
    <row r="635" spans="1:10" s="597" customFormat="1" ht="12" customHeight="1" x14ac:dyDescent="0.15">
      <c r="A635" s="590" t="s">
        <v>2487</v>
      </c>
      <c r="B635" s="591">
        <v>42616</v>
      </c>
      <c r="C635" s="592" t="s">
        <v>4748</v>
      </c>
      <c r="D635" s="593">
        <v>4</v>
      </c>
      <c r="E635" s="592" t="s">
        <v>3500</v>
      </c>
      <c r="F635" s="594">
        <v>5.6712962962962956E-4</v>
      </c>
      <c r="G635" s="592"/>
      <c r="H635" s="592" t="s">
        <v>1249</v>
      </c>
      <c r="I635" s="595" t="s">
        <v>5646</v>
      </c>
      <c r="J635" s="596" t="s">
        <v>2310</v>
      </c>
    </row>
    <row r="636" spans="1:10" s="251" customFormat="1" ht="12" customHeight="1" x14ac:dyDescent="0.15">
      <c r="A636" s="489" t="s">
        <v>2176</v>
      </c>
      <c r="B636" s="490">
        <v>42614</v>
      </c>
      <c r="C636" s="491" t="s">
        <v>2315</v>
      </c>
      <c r="D636" s="492">
        <v>3</v>
      </c>
      <c r="E636" s="491" t="s">
        <v>3500</v>
      </c>
      <c r="F636" s="493">
        <v>4.2812500000000007E-4</v>
      </c>
      <c r="G636" s="491"/>
      <c r="H636" s="491"/>
      <c r="I636" s="494" t="s">
        <v>4144</v>
      </c>
      <c r="J636" s="495" t="s">
        <v>2383</v>
      </c>
    </row>
    <row r="637" spans="1:10" s="251" customFormat="1" ht="12" customHeight="1" x14ac:dyDescent="0.15">
      <c r="A637" s="489" t="s">
        <v>2227</v>
      </c>
      <c r="B637" s="490">
        <v>42612</v>
      </c>
      <c r="C637" s="491" t="s">
        <v>1950</v>
      </c>
      <c r="D637" s="492">
        <v>3</v>
      </c>
      <c r="E637" s="491" t="s">
        <v>3500</v>
      </c>
      <c r="F637" s="493">
        <v>4.164351851851851E-4</v>
      </c>
      <c r="G637" s="491"/>
      <c r="H637" s="491"/>
      <c r="I637" s="494" t="s">
        <v>4058</v>
      </c>
      <c r="J637" s="495" t="s">
        <v>5623</v>
      </c>
    </row>
    <row r="638" spans="1:10" s="618" customFormat="1" ht="12" customHeight="1" x14ac:dyDescent="0.15">
      <c r="A638" s="611" t="s">
        <v>2491</v>
      </c>
      <c r="B638" s="612">
        <v>42615</v>
      </c>
      <c r="C638" s="613" t="s">
        <v>3477</v>
      </c>
      <c r="D638" s="614">
        <v>2</v>
      </c>
      <c r="E638" s="613" t="s">
        <v>3501</v>
      </c>
      <c r="F638" s="615">
        <v>2.8240740740740738E-4</v>
      </c>
      <c r="G638" s="613"/>
      <c r="H638" s="613"/>
      <c r="I638" s="616" t="s">
        <v>3977</v>
      </c>
      <c r="J638" s="617" t="s">
        <v>2428</v>
      </c>
    </row>
    <row r="639" spans="1:10" s="252" customFormat="1" ht="12" customHeight="1" x14ac:dyDescent="0.15">
      <c r="A639" s="496" t="s">
        <v>1953</v>
      </c>
      <c r="B639" s="497">
        <v>42616</v>
      </c>
      <c r="C639" s="498" t="s">
        <v>2317</v>
      </c>
      <c r="D639" s="499">
        <v>3</v>
      </c>
      <c r="E639" s="498" t="s">
        <v>3500</v>
      </c>
      <c r="F639" s="500">
        <v>4.1666666666666669E-4</v>
      </c>
      <c r="G639" s="498"/>
      <c r="H639" s="498"/>
      <c r="I639" s="501" t="s">
        <v>5642</v>
      </c>
      <c r="J639" s="641"/>
    </row>
    <row r="640" spans="1:10" s="251" customFormat="1" ht="12" customHeight="1" x14ac:dyDescent="0.15">
      <c r="A640" s="489" t="s">
        <v>1943</v>
      </c>
      <c r="B640" s="490">
        <v>42614</v>
      </c>
      <c r="C640" s="491" t="s">
        <v>4715</v>
      </c>
      <c r="D640" s="492">
        <v>4</v>
      </c>
      <c r="E640" s="491" t="s">
        <v>3500</v>
      </c>
      <c r="F640" s="493">
        <v>5.6481481481481476E-4</v>
      </c>
      <c r="G640" s="491"/>
      <c r="H640" s="491"/>
      <c r="I640" s="494" t="s">
        <v>5620</v>
      </c>
      <c r="J640" s="495"/>
    </row>
    <row r="641" spans="1:11" s="251" customFormat="1" ht="12" customHeight="1" x14ac:dyDescent="0.15">
      <c r="A641" s="489" t="s">
        <v>3099</v>
      </c>
      <c r="B641" s="490">
        <v>42613</v>
      </c>
      <c r="C641" s="491" t="s">
        <v>2293</v>
      </c>
      <c r="D641" s="492">
        <v>5</v>
      </c>
      <c r="E641" s="491" t="s">
        <v>3500</v>
      </c>
      <c r="F641" s="493">
        <v>7.245370370370371E-4</v>
      </c>
      <c r="G641" s="491"/>
      <c r="H641" s="491"/>
      <c r="I641" s="494" t="s">
        <v>5621</v>
      </c>
      <c r="J641" s="495"/>
    </row>
    <row r="642" spans="1:11" s="251" customFormat="1" ht="12" customHeight="1" x14ac:dyDescent="0.15">
      <c r="A642" s="489" t="s">
        <v>1672</v>
      </c>
      <c r="B642" s="490">
        <v>42612</v>
      </c>
      <c r="C642" s="491" t="s">
        <v>4464</v>
      </c>
      <c r="D642" s="492">
        <v>4</v>
      </c>
      <c r="E642" s="491" t="s">
        <v>3500</v>
      </c>
      <c r="F642" s="493">
        <v>5.7870370370370378E-4</v>
      </c>
      <c r="G642" s="491" t="s">
        <v>961</v>
      </c>
      <c r="H642" s="491"/>
      <c r="I642" s="494" t="s">
        <v>3208</v>
      </c>
      <c r="J642" s="495" t="s">
        <v>5632</v>
      </c>
    </row>
    <row r="643" spans="1:11" s="597" customFormat="1" ht="12" customHeight="1" x14ac:dyDescent="0.15">
      <c r="A643" s="590" t="s">
        <v>2425</v>
      </c>
      <c r="B643" s="591">
        <v>42612</v>
      </c>
      <c r="C643" s="592" t="s">
        <v>4807</v>
      </c>
      <c r="D643" s="593">
        <v>3</v>
      </c>
      <c r="E643" s="592" t="s">
        <v>3500</v>
      </c>
      <c r="F643" s="594">
        <v>4.4675925925925921E-4</v>
      </c>
      <c r="G643" s="592"/>
      <c r="H643" s="592"/>
      <c r="I643" s="595" t="s">
        <v>5622</v>
      </c>
      <c r="J643" s="596"/>
    </row>
    <row r="644" spans="1:11" s="251" customFormat="1" ht="12" customHeight="1" x14ac:dyDescent="0.15">
      <c r="A644" s="489" t="s">
        <v>33</v>
      </c>
      <c r="B644" s="490">
        <v>42615</v>
      </c>
      <c r="C644" s="491" t="s">
        <v>3212</v>
      </c>
      <c r="D644" s="492">
        <v>4</v>
      </c>
      <c r="E644" s="491" t="s">
        <v>3500</v>
      </c>
      <c r="F644" s="493">
        <v>6.018518518518519E-4</v>
      </c>
      <c r="G644" s="491"/>
      <c r="H644" s="491"/>
      <c r="I644" s="494" t="s">
        <v>3981</v>
      </c>
      <c r="J644" s="495"/>
    </row>
    <row r="645" spans="1:11" s="251" customFormat="1" ht="12" customHeight="1" x14ac:dyDescent="0.15">
      <c r="A645" s="489" t="s">
        <v>5572</v>
      </c>
      <c r="B645" s="490">
        <v>42615</v>
      </c>
      <c r="C645" s="491" t="s">
        <v>3200</v>
      </c>
      <c r="D645" s="492">
        <v>3</v>
      </c>
      <c r="E645" s="491" t="s">
        <v>3500</v>
      </c>
      <c r="F645" s="493">
        <v>4.6238425925925933E-4</v>
      </c>
      <c r="G645" s="491"/>
      <c r="H645" s="491"/>
      <c r="I645" s="494" t="s">
        <v>5631</v>
      </c>
      <c r="J645" s="495"/>
    </row>
    <row r="646" spans="1:11" s="251" customFormat="1" ht="12" customHeight="1" x14ac:dyDescent="0.15">
      <c r="A646" s="489" t="s">
        <v>21</v>
      </c>
      <c r="B646" s="490">
        <v>42615</v>
      </c>
      <c r="C646" s="491" t="s">
        <v>4125</v>
      </c>
      <c r="D646" s="492">
        <v>5</v>
      </c>
      <c r="E646" s="491" t="s">
        <v>3500</v>
      </c>
      <c r="F646" s="493">
        <v>7.430555555555555E-4</v>
      </c>
      <c r="G646" s="491"/>
      <c r="H646" s="491"/>
      <c r="I646" s="494" t="s">
        <v>4252</v>
      </c>
      <c r="J646" s="495"/>
    </row>
    <row r="647" spans="1:11" s="251" customFormat="1" ht="12" customHeight="1" x14ac:dyDescent="0.15">
      <c r="A647" s="489" t="s">
        <v>4396</v>
      </c>
      <c r="B647" s="490">
        <v>42615</v>
      </c>
      <c r="C647" s="491" t="s">
        <v>2315</v>
      </c>
      <c r="D647" s="492">
        <v>4</v>
      </c>
      <c r="E647" s="491" t="s">
        <v>3500</v>
      </c>
      <c r="F647" s="493">
        <v>5.9247685185185184E-4</v>
      </c>
      <c r="G647" s="491"/>
      <c r="H647" s="491"/>
      <c r="I647" s="494" t="s">
        <v>3976</v>
      </c>
      <c r="J647" s="495"/>
    </row>
    <row r="648" spans="1:11" s="597" customFormat="1" ht="12" customHeight="1" x14ac:dyDescent="0.15">
      <c r="A648" s="590" t="s">
        <v>3607</v>
      </c>
      <c r="B648" s="591">
        <v>42615</v>
      </c>
      <c r="C648" s="592" t="s">
        <v>1950</v>
      </c>
      <c r="D648" s="593">
        <v>4</v>
      </c>
      <c r="E648" s="592" t="s">
        <v>3500</v>
      </c>
      <c r="F648" s="594">
        <v>5.9398148148148147E-4</v>
      </c>
      <c r="G648" s="592"/>
      <c r="H648" s="592"/>
      <c r="I648" s="595" t="s">
        <v>5067</v>
      </c>
      <c r="J648" s="596"/>
    </row>
    <row r="649" spans="1:11" s="597" customFormat="1" ht="12" customHeight="1" x14ac:dyDescent="0.15">
      <c r="A649" s="590" t="s">
        <v>3795</v>
      </c>
      <c r="B649" s="591">
        <v>42617</v>
      </c>
      <c r="C649" s="592" t="s">
        <v>5270</v>
      </c>
      <c r="D649" s="593">
        <v>4</v>
      </c>
      <c r="E649" s="592" t="s">
        <v>3500</v>
      </c>
      <c r="F649" s="594">
        <v>5.9027777777777778E-4</v>
      </c>
      <c r="G649" s="592"/>
      <c r="H649" s="592"/>
      <c r="I649" s="595" t="s">
        <v>4230</v>
      </c>
      <c r="J649" s="596"/>
    </row>
    <row r="650" spans="1:11" s="597" customFormat="1" ht="12" customHeight="1" x14ac:dyDescent="0.15">
      <c r="A650" s="590" t="s">
        <v>2425</v>
      </c>
      <c r="B650" s="591">
        <v>42616</v>
      </c>
      <c r="C650" s="592" t="s">
        <v>4807</v>
      </c>
      <c r="D650" s="593">
        <v>4</v>
      </c>
      <c r="E650" s="592" t="s">
        <v>3500</v>
      </c>
      <c r="F650" s="594">
        <v>5.8796296296296287E-4</v>
      </c>
      <c r="G650" s="592"/>
      <c r="H650" s="592"/>
      <c r="I650" s="595" t="s">
        <v>5647</v>
      </c>
      <c r="J650" s="596"/>
    </row>
    <row r="651" spans="1:11" s="251" customFormat="1" ht="12" customHeight="1" x14ac:dyDescent="0.15">
      <c r="A651" s="489" t="s">
        <v>1897</v>
      </c>
      <c r="B651" s="490">
        <v>42617</v>
      </c>
      <c r="C651" s="491" t="s">
        <v>4778</v>
      </c>
      <c r="D651" s="492">
        <v>5</v>
      </c>
      <c r="E651" s="491" t="s">
        <v>3500</v>
      </c>
      <c r="F651" s="493">
        <v>7.430555555555555E-4</v>
      </c>
      <c r="G651" s="491"/>
      <c r="H651" s="491"/>
      <c r="I651" s="494" t="s">
        <v>5573</v>
      </c>
      <c r="J651" s="495"/>
    </row>
    <row r="652" spans="1:11" s="251" customFormat="1" ht="12" customHeight="1" thickBot="1" x14ac:dyDescent="0.2">
      <c r="A652" s="489" t="s">
        <v>2170</v>
      </c>
      <c r="B652" s="490">
        <v>42616</v>
      </c>
      <c r="C652" s="491" t="s">
        <v>3205</v>
      </c>
      <c r="D652" s="492">
        <v>4</v>
      </c>
      <c r="E652" s="491" t="s">
        <v>3500</v>
      </c>
      <c r="F652" s="493">
        <v>6.1805555555555561E-4</v>
      </c>
      <c r="G652" s="491"/>
      <c r="H652" s="491"/>
      <c r="I652" s="503" t="s">
        <v>3927</v>
      </c>
      <c r="J652" s="495"/>
    </row>
    <row r="653" spans="1:11" s="251" customFormat="1" ht="12" customHeight="1" x14ac:dyDescent="0.15">
      <c r="A653" s="540" t="s">
        <v>2459</v>
      </c>
      <c r="B653" s="253">
        <v>42623</v>
      </c>
      <c r="C653" s="254" t="s">
        <v>2293</v>
      </c>
      <c r="D653" s="255">
        <v>3</v>
      </c>
      <c r="E653" s="342" t="s">
        <v>3500</v>
      </c>
      <c r="F653" s="256">
        <v>4.2013888888888889E-4</v>
      </c>
      <c r="G653" s="254"/>
      <c r="H653" s="254"/>
      <c r="I653" s="257" t="s">
        <v>4410</v>
      </c>
      <c r="J653" s="258" t="s">
        <v>5682</v>
      </c>
    </row>
    <row r="654" spans="1:11" s="251" customFormat="1" ht="12" customHeight="1" x14ac:dyDescent="0.15">
      <c r="A654" s="599" t="s">
        <v>3694</v>
      </c>
      <c r="B654" s="568">
        <v>42622</v>
      </c>
      <c r="C654" s="569" t="s">
        <v>3193</v>
      </c>
      <c r="D654" s="570">
        <v>3</v>
      </c>
      <c r="E654" s="600" t="s">
        <v>3500</v>
      </c>
      <c r="F654" s="571">
        <v>4.3750000000000001E-4</v>
      </c>
      <c r="G654" s="569"/>
      <c r="H654" s="569"/>
      <c r="I654" s="644" t="s">
        <v>4102</v>
      </c>
      <c r="J654" s="573" t="s">
        <v>5682</v>
      </c>
      <c r="K654" s="558"/>
    </row>
    <row r="655" spans="1:11" s="597" customFormat="1" ht="12" customHeight="1" x14ac:dyDescent="0.15">
      <c r="A655" s="590" t="s">
        <v>2481</v>
      </c>
      <c r="B655" s="591">
        <v>42624</v>
      </c>
      <c r="C655" s="592" t="s">
        <v>5705</v>
      </c>
      <c r="D655" s="593">
        <v>3</v>
      </c>
      <c r="E655" s="592" t="s">
        <v>3500</v>
      </c>
      <c r="F655" s="594">
        <v>4.5266203703703706E-4</v>
      </c>
      <c r="G655" s="592"/>
      <c r="H655" s="592"/>
      <c r="I655" s="595" t="s">
        <v>3185</v>
      </c>
      <c r="J655" s="596" t="s">
        <v>2428</v>
      </c>
    </row>
    <row r="656" spans="1:11" s="251" customFormat="1" ht="12" customHeight="1" x14ac:dyDescent="0.15">
      <c r="A656" s="599" t="s">
        <v>2155</v>
      </c>
      <c r="B656" s="568">
        <v>42624</v>
      </c>
      <c r="C656" s="569" t="s">
        <v>2293</v>
      </c>
      <c r="D656" s="570">
        <v>4</v>
      </c>
      <c r="E656" s="600" t="s">
        <v>3500</v>
      </c>
      <c r="F656" s="571">
        <v>5.6712962962962956E-4</v>
      </c>
      <c r="G656" s="569"/>
      <c r="H656" s="569"/>
      <c r="I656" s="572" t="s">
        <v>1204</v>
      </c>
      <c r="J656" s="573" t="s">
        <v>5691</v>
      </c>
    </row>
    <row r="657" spans="1:10" s="252" customFormat="1" ht="12" customHeight="1" x14ac:dyDescent="0.15">
      <c r="A657" s="620" t="s">
        <v>3266</v>
      </c>
      <c r="B657" s="621">
        <v>42620</v>
      </c>
      <c r="C657" s="622" t="s">
        <v>1950</v>
      </c>
      <c r="D657" s="623">
        <v>5</v>
      </c>
      <c r="E657" s="624" t="s">
        <v>3500</v>
      </c>
      <c r="F657" s="625">
        <v>6.9409722222222225E-4</v>
      </c>
      <c r="G657" s="622"/>
      <c r="H657" s="622"/>
      <c r="I657" s="626" t="s">
        <v>4399</v>
      </c>
      <c r="J657" s="627"/>
    </row>
    <row r="658" spans="1:10" s="251" customFormat="1" ht="12" customHeight="1" x14ac:dyDescent="0.15">
      <c r="A658" s="489" t="s">
        <v>3182</v>
      </c>
      <c r="B658" s="490">
        <v>42620</v>
      </c>
      <c r="C658" s="491" t="s">
        <v>5695</v>
      </c>
      <c r="D658" s="492">
        <v>6</v>
      </c>
      <c r="E658" s="491" t="s">
        <v>3500</v>
      </c>
      <c r="F658" s="493">
        <v>8.9259259259259272E-4</v>
      </c>
      <c r="G658" s="491"/>
      <c r="H658" s="491"/>
      <c r="I658" s="494" t="s">
        <v>2232</v>
      </c>
      <c r="J658" s="495" t="s">
        <v>5697</v>
      </c>
    </row>
    <row r="659" spans="1:10" s="251" customFormat="1" ht="12" customHeight="1" x14ac:dyDescent="0.15">
      <c r="A659" s="489" t="s">
        <v>2170</v>
      </c>
      <c r="B659" s="490">
        <v>42619</v>
      </c>
      <c r="C659" s="491" t="s">
        <v>3205</v>
      </c>
      <c r="D659" s="492">
        <v>3</v>
      </c>
      <c r="E659" s="491" t="s">
        <v>3500</v>
      </c>
      <c r="F659" s="493">
        <v>4.0972222222222218E-4</v>
      </c>
      <c r="G659" s="491"/>
      <c r="H659" s="491"/>
      <c r="I659" s="494" t="s">
        <v>2232</v>
      </c>
      <c r="J659" s="495" t="s">
        <v>5696</v>
      </c>
    </row>
    <row r="660" spans="1:10" s="251" customFormat="1" ht="12" customHeight="1" x14ac:dyDescent="0.15">
      <c r="A660" s="489" t="s">
        <v>3177</v>
      </c>
      <c r="B660" s="490">
        <v>42623</v>
      </c>
      <c r="C660" s="491" t="s">
        <v>2317</v>
      </c>
      <c r="D660" s="492">
        <v>5</v>
      </c>
      <c r="E660" s="491" t="s">
        <v>3500</v>
      </c>
      <c r="F660" s="493">
        <v>7.407407407407407E-4</v>
      </c>
      <c r="G660" s="491"/>
      <c r="H660" s="491"/>
      <c r="I660" s="494" t="s">
        <v>4848</v>
      </c>
      <c r="J660" s="495"/>
    </row>
    <row r="661" spans="1:10" s="597" customFormat="1" ht="12" customHeight="1" x14ac:dyDescent="0.15">
      <c r="A661" s="590" t="s">
        <v>2425</v>
      </c>
      <c r="B661" s="591">
        <v>42623</v>
      </c>
      <c r="C661" s="592" t="s">
        <v>4807</v>
      </c>
      <c r="D661" s="593">
        <v>4</v>
      </c>
      <c r="E661" s="592" t="s">
        <v>3500</v>
      </c>
      <c r="F661" s="594">
        <v>5.6712962962962956E-4</v>
      </c>
      <c r="G661" s="592"/>
      <c r="H661" s="592"/>
      <c r="I661" s="595" t="s">
        <v>4869</v>
      </c>
      <c r="J661" s="596"/>
    </row>
    <row r="662" spans="1:10" s="597" customFormat="1" ht="12" customHeight="1" x14ac:dyDescent="0.15">
      <c r="A662" s="590" t="s">
        <v>2487</v>
      </c>
      <c r="B662" s="591">
        <v>42624</v>
      </c>
      <c r="C662" s="592" t="s">
        <v>4748</v>
      </c>
      <c r="D662" s="593">
        <v>5</v>
      </c>
      <c r="E662" s="592" t="s">
        <v>3501</v>
      </c>
      <c r="F662" s="594">
        <v>7.175925925925927E-4</v>
      </c>
      <c r="G662" s="592"/>
      <c r="H662" s="592"/>
      <c r="I662" s="595" t="s">
        <v>4602</v>
      </c>
      <c r="J662" s="596"/>
    </row>
    <row r="663" spans="1:10" s="597" customFormat="1" ht="12" customHeight="1" x14ac:dyDescent="0.15">
      <c r="A663" s="590" t="s">
        <v>5572</v>
      </c>
      <c r="B663" s="591">
        <v>42622</v>
      </c>
      <c r="C663" s="592" t="s">
        <v>3200</v>
      </c>
      <c r="D663" s="593">
        <v>3</v>
      </c>
      <c r="E663" s="592" t="s">
        <v>3500</v>
      </c>
      <c r="F663" s="594">
        <v>4.4652777777777784E-4</v>
      </c>
      <c r="G663" s="592"/>
      <c r="H663" s="592"/>
      <c r="I663" s="595" t="s">
        <v>5693</v>
      </c>
      <c r="J663" s="596"/>
    </row>
    <row r="664" spans="1:10" s="597" customFormat="1" ht="12" customHeight="1" x14ac:dyDescent="0.15">
      <c r="A664" s="590" t="s">
        <v>2491</v>
      </c>
      <c r="B664" s="591">
        <v>42622</v>
      </c>
      <c r="C664" s="592" t="s">
        <v>3477</v>
      </c>
      <c r="D664" s="593">
        <v>2</v>
      </c>
      <c r="E664" s="592" t="s">
        <v>3501</v>
      </c>
      <c r="F664" s="594">
        <v>2.9166666666666669E-4</v>
      </c>
      <c r="G664" s="592"/>
      <c r="H664" s="592"/>
      <c r="I664" s="595" t="s">
        <v>3279</v>
      </c>
      <c r="J664" s="596"/>
    </row>
    <row r="665" spans="1:10" s="597" customFormat="1" ht="12" customHeight="1" x14ac:dyDescent="0.15">
      <c r="A665" s="590" t="s">
        <v>3606</v>
      </c>
      <c r="B665" s="591">
        <v>42620</v>
      </c>
      <c r="C665" s="592" t="s">
        <v>1950</v>
      </c>
      <c r="D665" s="593">
        <v>4</v>
      </c>
      <c r="E665" s="592" t="s">
        <v>3500</v>
      </c>
      <c r="F665" s="594">
        <v>5.8020833333333329E-4</v>
      </c>
      <c r="G665" s="592"/>
      <c r="H665" s="592"/>
      <c r="I665" s="595" t="s">
        <v>4447</v>
      </c>
      <c r="J665" s="596"/>
    </row>
    <row r="666" spans="1:10" s="251" customFormat="1" ht="12" customHeight="1" thickBot="1" x14ac:dyDescent="0.2">
      <c r="A666" s="489" t="s">
        <v>3221</v>
      </c>
      <c r="B666" s="490">
        <v>42623</v>
      </c>
      <c r="C666" s="491" t="s">
        <v>2317</v>
      </c>
      <c r="D666" s="492">
        <v>4</v>
      </c>
      <c r="E666" s="491" t="s">
        <v>3500</v>
      </c>
      <c r="F666" s="493">
        <v>5.9027777777777778E-4</v>
      </c>
      <c r="G666" s="491"/>
      <c r="H666" s="491"/>
      <c r="I666" s="503" t="s">
        <v>5692</v>
      </c>
      <c r="J666" s="495"/>
    </row>
    <row r="667" spans="1:10" s="251" customFormat="1" ht="12" customHeight="1" x14ac:dyDescent="0.15">
      <c r="A667" s="540" t="s">
        <v>2178</v>
      </c>
      <c r="B667" s="253">
        <v>42631</v>
      </c>
      <c r="C667" s="254" t="s">
        <v>4815</v>
      </c>
      <c r="D667" s="255">
        <v>3</v>
      </c>
      <c r="E667" s="342" t="s">
        <v>3500</v>
      </c>
      <c r="F667" s="256">
        <v>4.6250000000000002E-4</v>
      </c>
      <c r="G667" s="254"/>
      <c r="H667" s="254"/>
      <c r="I667" s="257" t="s">
        <v>2214</v>
      </c>
      <c r="J667" s="258"/>
    </row>
    <row r="668" spans="1:10" s="251" customFormat="1" ht="12" customHeight="1" x14ac:dyDescent="0.15">
      <c r="A668" s="489" t="s">
        <v>1816</v>
      </c>
      <c r="B668" s="490">
        <v>42631</v>
      </c>
      <c r="C668" s="491" t="s">
        <v>4778</v>
      </c>
      <c r="D668" s="492">
        <v>4</v>
      </c>
      <c r="E668" s="491" t="s">
        <v>3500</v>
      </c>
      <c r="F668" s="493">
        <v>5.7175925925925927E-4</v>
      </c>
      <c r="G668" s="491"/>
      <c r="H668" s="491"/>
      <c r="I668" s="494" t="s">
        <v>5721</v>
      </c>
      <c r="J668" s="495"/>
    </row>
    <row r="669" spans="1:10" s="251" customFormat="1" ht="12" customHeight="1" x14ac:dyDescent="0.15">
      <c r="A669" s="489" t="s">
        <v>3221</v>
      </c>
      <c r="B669" s="490">
        <v>42630</v>
      </c>
      <c r="C669" s="491" t="s">
        <v>2317</v>
      </c>
      <c r="D669" s="492">
        <v>4</v>
      </c>
      <c r="E669" s="491" t="s">
        <v>3500</v>
      </c>
      <c r="F669" s="493">
        <v>5.8101851851851858E-4</v>
      </c>
      <c r="G669" s="491"/>
      <c r="H669" s="491"/>
      <c r="I669" s="494" t="s">
        <v>5722</v>
      </c>
      <c r="J669" s="495"/>
    </row>
    <row r="670" spans="1:10" s="251" customFormat="1" ht="12" customHeight="1" x14ac:dyDescent="0.15">
      <c r="A670" s="489" t="s">
        <v>1672</v>
      </c>
      <c r="B670" s="490">
        <v>42630</v>
      </c>
      <c r="C670" s="491" t="s">
        <v>4464</v>
      </c>
      <c r="D670" s="492">
        <v>5</v>
      </c>
      <c r="E670" s="491" t="s">
        <v>3500</v>
      </c>
      <c r="F670" s="493">
        <v>7.4537037037037031E-4</v>
      </c>
      <c r="G670" s="491"/>
      <c r="H670" s="491"/>
      <c r="I670" s="494" t="s">
        <v>2214</v>
      </c>
      <c r="J670" s="495"/>
    </row>
    <row r="671" spans="1:10" s="251" customFormat="1" ht="12" customHeight="1" x14ac:dyDescent="0.15">
      <c r="A671" s="489" t="s">
        <v>1897</v>
      </c>
      <c r="B671" s="490">
        <v>42630</v>
      </c>
      <c r="C671" s="491" t="s">
        <v>4778</v>
      </c>
      <c r="D671" s="492">
        <v>6</v>
      </c>
      <c r="E671" s="491" t="s">
        <v>3500</v>
      </c>
      <c r="F671" s="493">
        <v>9.0277777777777784E-4</v>
      </c>
      <c r="G671" s="491"/>
      <c r="H671" s="491"/>
      <c r="I671" s="494" t="s">
        <v>4288</v>
      </c>
      <c r="J671" s="495"/>
    </row>
    <row r="672" spans="1:10" s="251" customFormat="1" ht="12" customHeight="1" x14ac:dyDescent="0.15">
      <c r="A672" s="489" t="s">
        <v>5572</v>
      </c>
      <c r="B672" s="490">
        <v>42629</v>
      </c>
      <c r="C672" s="491" t="s">
        <v>3200</v>
      </c>
      <c r="D672" s="492">
        <v>3</v>
      </c>
      <c r="E672" s="491" t="s">
        <v>3500</v>
      </c>
      <c r="F672" s="493">
        <v>4.6180555555555553E-4</v>
      </c>
      <c r="G672" s="491"/>
      <c r="H672" s="491"/>
      <c r="I672" s="494" t="s">
        <v>3208</v>
      </c>
      <c r="J672" s="495"/>
    </row>
    <row r="673" spans="1:10" s="251" customFormat="1" ht="12" customHeight="1" x14ac:dyDescent="0.15">
      <c r="A673" s="489" t="s">
        <v>3694</v>
      </c>
      <c r="B673" s="490">
        <v>42629</v>
      </c>
      <c r="C673" s="491" t="s">
        <v>3193</v>
      </c>
      <c r="D673" s="492">
        <v>3</v>
      </c>
      <c r="E673" s="491" t="s">
        <v>3500</v>
      </c>
      <c r="F673" s="493">
        <v>4.3981481481481481E-4</v>
      </c>
      <c r="G673" s="491"/>
      <c r="H673" s="491"/>
      <c r="I673" s="494" t="s">
        <v>5723</v>
      </c>
      <c r="J673" s="495"/>
    </row>
    <row r="674" spans="1:10" s="251" customFormat="1" ht="12" customHeight="1" x14ac:dyDescent="0.15">
      <c r="A674" s="489" t="s">
        <v>2355</v>
      </c>
      <c r="B674" s="490">
        <v>42629</v>
      </c>
      <c r="C674" s="491" t="s">
        <v>4778</v>
      </c>
      <c r="D674" s="492">
        <v>4</v>
      </c>
      <c r="E674" s="491" t="s">
        <v>3500</v>
      </c>
      <c r="F674" s="493">
        <v>5.6944444444444447E-4</v>
      </c>
      <c r="G674" s="491"/>
      <c r="H674" s="491"/>
      <c r="I674" s="494" t="s">
        <v>5724</v>
      </c>
      <c r="J674" s="495"/>
    </row>
    <row r="675" spans="1:10" s="597" customFormat="1" ht="12" customHeight="1" x14ac:dyDescent="0.15">
      <c r="A675" s="590" t="s">
        <v>2425</v>
      </c>
      <c r="B675" s="591">
        <v>42628</v>
      </c>
      <c r="C675" s="592" t="s">
        <v>4807</v>
      </c>
      <c r="D675" s="593">
        <v>4</v>
      </c>
      <c r="E675" s="592" t="s">
        <v>3500</v>
      </c>
      <c r="F675" s="594">
        <v>5.9953703703703699E-4</v>
      </c>
      <c r="G675" s="592"/>
      <c r="H675" s="592"/>
      <c r="I675" s="595" t="s">
        <v>2515</v>
      </c>
      <c r="J675" s="596"/>
    </row>
    <row r="676" spans="1:10" s="251" customFormat="1" ht="12" customHeight="1" x14ac:dyDescent="0.15">
      <c r="A676" s="489" t="s">
        <v>4391</v>
      </c>
      <c r="B676" s="490">
        <v>42628</v>
      </c>
      <c r="C676" s="491" t="s">
        <v>4778</v>
      </c>
      <c r="D676" s="492">
        <v>4</v>
      </c>
      <c r="E676" s="491" t="s">
        <v>3500</v>
      </c>
      <c r="F676" s="493">
        <v>5.9027777777777778E-4</v>
      </c>
      <c r="G676" s="491"/>
      <c r="H676" s="491"/>
      <c r="I676" s="494" t="s">
        <v>5725</v>
      </c>
      <c r="J676" s="495"/>
    </row>
    <row r="677" spans="1:10" s="597" customFormat="1" ht="12" customHeight="1" x14ac:dyDescent="0.15">
      <c r="A677" s="590" t="s">
        <v>3996</v>
      </c>
      <c r="B677" s="591">
        <v>42625</v>
      </c>
      <c r="C677" s="592" t="s">
        <v>4639</v>
      </c>
      <c r="D677" s="593">
        <v>5</v>
      </c>
      <c r="E677" s="592" t="s">
        <v>3500</v>
      </c>
      <c r="F677" s="594">
        <v>7.1990740740740739E-4</v>
      </c>
      <c r="G677" s="592"/>
      <c r="H677" s="592"/>
      <c r="I677" s="595" t="s">
        <v>4097</v>
      </c>
      <c r="J677" s="596" t="s">
        <v>5730</v>
      </c>
    </row>
    <row r="678" spans="1:10" s="251" customFormat="1" ht="12" customHeight="1" x14ac:dyDescent="0.15">
      <c r="A678" s="489" t="s">
        <v>2127</v>
      </c>
      <c r="B678" s="490">
        <v>42627</v>
      </c>
      <c r="C678" s="491" t="s">
        <v>3193</v>
      </c>
      <c r="D678" s="492">
        <v>4</v>
      </c>
      <c r="E678" s="491" t="s">
        <v>3500</v>
      </c>
      <c r="F678" s="493">
        <v>5.5787037037037036E-4</v>
      </c>
      <c r="G678" s="491"/>
      <c r="H678" s="491"/>
      <c r="I678" s="494" t="s">
        <v>4144</v>
      </c>
      <c r="J678" s="495" t="s">
        <v>2383</v>
      </c>
    </row>
    <row r="679" spans="1:10" s="251" customFormat="1" ht="12" customHeight="1" x14ac:dyDescent="0.15">
      <c r="A679" s="489" t="s">
        <v>3177</v>
      </c>
      <c r="B679" s="490">
        <v>42626</v>
      </c>
      <c r="C679" s="491" t="s">
        <v>2317</v>
      </c>
      <c r="D679" s="492">
        <v>3</v>
      </c>
      <c r="E679" s="491" t="s">
        <v>3500</v>
      </c>
      <c r="F679" s="493">
        <v>4.3981481481481481E-4</v>
      </c>
      <c r="G679" s="491"/>
      <c r="H679" s="491"/>
      <c r="I679" s="494" t="s">
        <v>4144</v>
      </c>
      <c r="J679" s="495" t="s">
        <v>5728</v>
      </c>
    </row>
    <row r="680" spans="1:10" s="251" customFormat="1" ht="12" customHeight="1" x14ac:dyDescent="0.15">
      <c r="A680" s="489" t="s">
        <v>2484</v>
      </c>
      <c r="B680" s="490">
        <v>42625</v>
      </c>
      <c r="C680" s="491" t="s">
        <v>2293</v>
      </c>
      <c r="D680" s="492">
        <v>5</v>
      </c>
      <c r="E680" s="491" t="s">
        <v>3500</v>
      </c>
      <c r="F680" s="493">
        <v>7.245370370370371E-4</v>
      </c>
      <c r="G680" s="491"/>
      <c r="H680" s="491"/>
      <c r="I680" s="494" t="s">
        <v>2303</v>
      </c>
      <c r="J680" s="495" t="s">
        <v>2383</v>
      </c>
    </row>
    <row r="681" spans="1:10" s="251" customFormat="1" ht="12" customHeight="1" x14ac:dyDescent="0.15">
      <c r="A681" s="489" t="s">
        <v>3183</v>
      </c>
      <c r="B681" s="490">
        <v>42627</v>
      </c>
      <c r="C681" s="491" t="s">
        <v>86</v>
      </c>
      <c r="D681" s="492">
        <v>3</v>
      </c>
      <c r="E681" s="491" t="s">
        <v>3500</v>
      </c>
      <c r="F681" s="493">
        <v>4.3634259259259261E-4</v>
      </c>
      <c r="G681" s="491"/>
      <c r="H681" s="491"/>
      <c r="I681" s="494" t="s">
        <v>964</v>
      </c>
      <c r="J681" s="495" t="s">
        <v>5727</v>
      </c>
    </row>
    <row r="682" spans="1:10" s="251" customFormat="1" ht="12" customHeight="1" thickBot="1" x14ac:dyDescent="0.2">
      <c r="A682" s="489" t="s">
        <v>2157</v>
      </c>
      <c r="B682" s="490">
        <v>42625</v>
      </c>
      <c r="C682" s="491" t="s">
        <v>4778</v>
      </c>
      <c r="D682" s="492">
        <v>4</v>
      </c>
      <c r="E682" s="491" t="s">
        <v>3500</v>
      </c>
      <c r="F682" s="493">
        <v>5.8333333333333338E-4</v>
      </c>
      <c r="G682" s="491"/>
      <c r="H682" s="491"/>
      <c r="I682" s="503" t="s">
        <v>4550</v>
      </c>
      <c r="J682" s="495"/>
    </row>
    <row r="683" spans="1:10" s="251" customFormat="1" ht="12" customHeight="1" x14ac:dyDescent="0.15">
      <c r="A683" s="540"/>
      <c r="B683" s="253"/>
      <c r="C683" s="254"/>
      <c r="D683" s="255"/>
      <c r="E683" s="342"/>
      <c r="F683" s="256"/>
      <c r="G683" s="254"/>
      <c r="H683" s="254"/>
      <c r="I683" s="257"/>
      <c r="J683" s="258"/>
    </row>
    <row r="684" spans="1:10" s="251" customFormat="1" ht="12" customHeight="1" x14ac:dyDescent="0.15">
      <c r="A684" s="489"/>
      <c r="B684" s="490"/>
      <c r="C684" s="491"/>
      <c r="D684" s="492"/>
      <c r="E684" s="491"/>
      <c r="F684" s="493"/>
      <c r="G684" s="491"/>
      <c r="H684" s="491"/>
      <c r="I684" s="494"/>
      <c r="J684" s="495"/>
    </row>
    <row r="685" spans="1:10" s="251" customFormat="1" ht="12" customHeight="1" x14ac:dyDescent="0.15">
      <c r="A685" s="489"/>
      <c r="B685" s="490"/>
      <c r="C685" s="491"/>
      <c r="D685" s="492"/>
      <c r="E685" s="491"/>
      <c r="F685" s="493"/>
      <c r="G685" s="491"/>
      <c r="H685" s="491"/>
      <c r="I685" s="494"/>
      <c r="J685" s="495"/>
    </row>
    <row r="686" spans="1:10" s="251" customFormat="1" ht="12" customHeight="1" x14ac:dyDescent="0.15">
      <c r="A686" s="489"/>
      <c r="B686" s="490"/>
      <c r="C686" s="491"/>
      <c r="D686" s="492"/>
      <c r="E686" s="491"/>
      <c r="F686" s="493"/>
      <c r="G686" s="491"/>
      <c r="H686" s="491"/>
      <c r="I686" s="494"/>
      <c r="J686" s="495"/>
    </row>
    <row r="687" spans="1:10" s="251" customFormat="1" ht="12" customHeight="1" x14ac:dyDescent="0.15">
      <c r="A687" s="489"/>
      <c r="B687" s="490"/>
      <c r="C687" s="491"/>
      <c r="D687" s="492"/>
      <c r="E687" s="491"/>
      <c r="F687" s="493"/>
      <c r="G687" s="491"/>
      <c r="H687" s="491"/>
      <c r="I687" s="494"/>
      <c r="J687" s="495"/>
    </row>
    <row r="688" spans="1:10" s="251" customFormat="1" ht="12" customHeight="1" x14ac:dyDescent="0.15">
      <c r="A688" s="489"/>
      <c r="B688" s="490"/>
      <c r="C688" s="491"/>
      <c r="D688" s="492"/>
      <c r="E688" s="491"/>
      <c r="F688" s="493"/>
      <c r="G688" s="491"/>
      <c r="H688" s="491"/>
      <c r="I688" s="494"/>
      <c r="J688" s="495"/>
    </row>
    <row r="689" spans="1:10" s="251" customFormat="1" ht="12" customHeight="1" x14ac:dyDescent="0.15">
      <c r="A689" s="489"/>
      <c r="B689" s="490"/>
      <c r="C689" s="491"/>
      <c r="D689" s="492"/>
      <c r="E689" s="491"/>
      <c r="F689" s="493"/>
      <c r="G689" s="491"/>
      <c r="H689" s="491"/>
      <c r="I689" s="494"/>
      <c r="J689" s="495"/>
    </row>
    <row r="690" spans="1:10" s="251" customFormat="1" ht="12" customHeight="1" x14ac:dyDescent="0.15">
      <c r="A690" s="489"/>
      <c r="B690" s="490"/>
      <c r="C690" s="491"/>
      <c r="D690" s="492"/>
      <c r="E690" s="491"/>
      <c r="F690" s="493"/>
      <c r="G690" s="491"/>
      <c r="H690" s="491"/>
      <c r="I690" s="494"/>
      <c r="J690" s="495"/>
    </row>
    <row r="691" spans="1:10" s="251" customFormat="1" ht="12" customHeight="1" x14ac:dyDescent="0.15">
      <c r="A691" s="489"/>
      <c r="B691" s="490"/>
      <c r="C691" s="491"/>
      <c r="D691" s="492"/>
      <c r="E691" s="491"/>
      <c r="F691" s="493"/>
      <c r="G691" s="491"/>
      <c r="H691" s="491"/>
      <c r="I691" s="494"/>
      <c r="J691" s="495"/>
    </row>
    <row r="692" spans="1:10" s="251" customFormat="1" ht="12" customHeight="1" x14ac:dyDescent="0.15">
      <c r="A692" s="489"/>
      <c r="B692" s="490"/>
      <c r="C692" s="491"/>
      <c r="D692" s="492"/>
      <c r="E692" s="491"/>
      <c r="F692" s="493"/>
      <c r="G692" s="491"/>
      <c r="H692" s="491"/>
      <c r="I692" s="494"/>
      <c r="J692" s="495"/>
    </row>
    <row r="693" spans="1:10" s="251" customFormat="1" ht="12" customHeight="1" x14ac:dyDescent="0.15">
      <c r="A693" s="489"/>
      <c r="B693" s="490"/>
      <c r="C693" s="491"/>
      <c r="D693" s="492"/>
      <c r="E693" s="491"/>
      <c r="F693" s="493"/>
      <c r="G693" s="491"/>
      <c r="H693" s="491"/>
      <c r="I693" s="494"/>
      <c r="J693" s="495"/>
    </row>
    <row r="694" spans="1:10" s="251" customFormat="1" ht="12" customHeight="1" x14ac:dyDescent="0.15">
      <c r="A694" s="489"/>
      <c r="B694" s="490"/>
      <c r="C694" s="491"/>
      <c r="D694" s="492"/>
      <c r="E694" s="491"/>
      <c r="F694" s="493"/>
      <c r="G694" s="491"/>
      <c r="H694" s="491"/>
      <c r="I694" s="494"/>
      <c r="J694" s="495"/>
    </row>
    <row r="695" spans="1:10" s="251" customFormat="1" ht="12" customHeight="1" x14ac:dyDescent="0.15">
      <c r="A695" s="489"/>
      <c r="B695" s="490"/>
      <c r="C695" s="491"/>
      <c r="D695" s="492"/>
      <c r="E695" s="491"/>
      <c r="F695" s="493"/>
      <c r="G695" s="491"/>
      <c r="H695" s="491"/>
      <c r="I695" s="494"/>
      <c r="J695" s="495"/>
    </row>
    <row r="696" spans="1:10" s="251" customFormat="1" ht="12" customHeight="1" x14ac:dyDescent="0.15">
      <c r="A696" s="489"/>
      <c r="B696" s="490"/>
      <c r="C696" s="491"/>
      <c r="D696" s="492"/>
      <c r="E696" s="491"/>
      <c r="F696" s="493"/>
      <c r="G696" s="491"/>
      <c r="H696" s="491"/>
      <c r="I696" s="494"/>
      <c r="J696" s="495"/>
    </row>
    <row r="697" spans="1:10" s="251" customFormat="1" ht="12" customHeight="1" x14ac:dyDescent="0.15">
      <c r="A697" s="489"/>
      <c r="B697" s="490"/>
      <c r="C697" s="491"/>
      <c r="D697" s="492"/>
      <c r="E697" s="491"/>
      <c r="F697" s="493"/>
      <c r="G697" s="491"/>
      <c r="H697" s="491"/>
      <c r="I697" s="494"/>
      <c r="J697" s="495"/>
    </row>
    <row r="698" spans="1:10" s="251" customFormat="1" ht="12" customHeight="1" x14ac:dyDescent="0.15">
      <c r="A698" s="489"/>
      <c r="B698" s="490"/>
      <c r="C698" s="491"/>
      <c r="D698" s="492"/>
      <c r="E698" s="491"/>
      <c r="F698" s="493"/>
      <c r="G698" s="491"/>
      <c r="H698" s="491"/>
      <c r="I698" s="494"/>
      <c r="J698" s="495"/>
    </row>
    <row r="699" spans="1:10" s="251" customFormat="1" ht="12" customHeight="1" x14ac:dyDescent="0.15">
      <c r="A699" s="489"/>
      <c r="B699" s="490"/>
      <c r="C699" s="491"/>
      <c r="D699" s="492"/>
      <c r="E699" s="491"/>
      <c r="F699" s="493"/>
      <c r="G699" s="491"/>
      <c r="H699" s="491"/>
      <c r="I699" s="494"/>
      <c r="J699" s="495"/>
    </row>
    <row r="700" spans="1:10" s="251" customFormat="1" ht="12" customHeight="1" x14ac:dyDescent="0.15">
      <c r="A700" s="489"/>
      <c r="B700" s="490"/>
      <c r="C700" s="491"/>
      <c r="D700" s="492"/>
      <c r="E700" s="491"/>
      <c r="F700" s="493"/>
      <c r="G700" s="491"/>
      <c r="H700" s="491"/>
      <c r="I700" s="494"/>
      <c r="J700" s="495"/>
    </row>
    <row r="701" spans="1:10" s="251" customFormat="1" ht="12" customHeight="1" x14ac:dyDescent="0.15">
      <c r="A701" s="489"/>
      <c r="B701" s="490"/>
      <c r="C701" s="491"/>
      <c r="D701" s="492"/>
      <c r="E701" s="491"/>
      <c r="F701" s="493"/>
      <c r="G701" s="491"/>
      <c r="H701" s="491"/>
      <c r="I701" s="494"/>
      <c r="J701" s="495"/>
    </row>
    <row r="702" spans="1:10" s="251" customFormat="1" ht="12" customHeight="1" x14ac:dyDescent="0.15">
      <c r="A702" s="489"/>
      <c r="B702" s="490"/>
      <c r="C702" s="491"/>
      <c r="D702" s="492"/>
      <c r="E702" s="491"/>
      <c r="F702" s="493"/>
      <c r="G702" s="491"/>
      <c r="H702" s="491"/>
      <c r="I702" s="494"/>
      <c r="J702" s="495"/>
    </row>
    <row r="703" spans="1:10" s="251" customFormat="1" ht="12" customHeight="1" x14ac:dyDescent="0.15">
      <c r="A703" s="489"/>
      <c r="B703" s="490"/>
      <c r="C703" s="491"/>
      <c r="D703" s="492"/>
      <c r="E703" s="491"/>
      <c r="F703" s="493"/>
      <c r="G703" s="491"/>
      <c r="H703" s="491"/>
      <c r="I703" s="494"/>
      <c r="J703" s="495"/>
    </row>
    <row r="704" spans="1:10" s="251" customFormat="1" ht="12" customHeight="1" x14ac:dyDescent="0.15">
      <c r="A704" s="489"/>
      <c r="B704" s="490"/>
      <c r="C704" s="491"/>
      <c r="D704" s="492"/>
      <c r="E704" s="491"/>
      <c r="F704" s="493"/>
      <c r="G704" s="491"/>
      <c r="H704" s="491"/>
      <c r="I704" s="494"/>
      <c r="J704" s="495"/>
    </row>
    <row r="705" spans="1:10" s="251" customFormat="1" ht="12" customHeight="1" x14ac:dyDescent="0.15">
      <c r="A705" s="489"/>
      <c r="B705" s="490"/>
      <c r="C705" s="491"/>
      <c r="D705" s="492"/>
      <c r="E705" s="491"/>
      <c r="F705" s="493"/>
      <c r="G705" s="491"/>
      <c r="H705" s="491"/>
      <c r="I705" s="494"/>
      <c r="J705" s="495"/>
    </row>
    <row r="706" spans="1:10" s="251" customFormat="1" ht="12" customHeight="1" x14ac:dyDescent="0.15">
      <c r="A706" s="489"/>
      <c r="B706" s="490"/>
      <c r="C706" s="491"/>
      <c r="D706" s="492"/>
      <c r="E706" s="491"/>
      <c r="F706" s="493"/>
      <c r="G706" s="491"/>
      <c r="H706" s="491"/>
      <c r="I706" s="494"/>
      <c r="J706" s="495"/>
    </row>
    <row r="707" spans="1:10" s="251" customFormat="1" ht="12" customHeight="1" x14ac:dyDescent="0.15">
      <c r="A707" s="489"/>
      <c r="B707" s="490"/>
      <c r="C707" s="491"/>
      <c r="D707" s="492"/>
      <c r="E707" s="491"/>
      <c r="F707" s="493"/>
      <c r="G707" s="491"/>
      <c r="H707" s="491"/>
      <c r="I707" s="494"/>
      <c r="J707" s="495"/>
    </row>
    <row r="708" spans="1:10" s="251" customFormat="1" ht="12" customHeight="1" x14ac:dyDescent="0.15">
      <c r="A708" s="489"/>
      <c r="B708" s="490"/>
      <c r="C708" s="491"/>
      <c r="D708" s="492"/>
      <c r="E708" s="491"/>
      <c r="F708" s="493"/>
      <c r="G708" s="491"/>
      <c r="H708" s="491"/>
      <c r="I708" s="494"/>
      <c r="J708" s="495"/>
    </row>
    <row r="709" spans="1:10" s="251" customFormat="1" ht="12" customHeight="1" x14ac:dyDescent="0.15">
      <c r="A709" s="489"/>
      <c r="B709" s="490"/>
      <c r="C709" s="491"/>
      <c r="D709" s="492"/>
      <c r="E709" s="491"/>
      <c r="F709" s="493"/>
      <c r="G709" s="491"/>
      <c r="H709" s="491"/>
      <c r="I709" s="494"/>
      <c r="J709" s="495"/>
    </row>
    <row r="710" spans="1:10" s="251" customFormat="1" ht="12" customHeight="1" x14ac:dyDescent="0.15">
      <c r="A710" s="489"/>
      <c r="B710" s="490"/>
      <c r="C710" s="491"/>
      <c r="D710" s="492"/>
      <c r="E710" s="491"/>
      <c r="F710" s="493"/>
      <c r="G710" s="491"/>
      <c r="H710" s="491"/>
      <c r="I710" s="494"/>
      <c r="J710" s="495"/>
    </row>
    <row r="711" spans="1:10" s="251" customFormat="1" ht="12" customHeight="1" x14ac:dyDescent="0.15">
      <c r="A711" s="489"/>
      <c r="B711" s="490"/>
      <c r="C711" s="491"/>
      <c r="D711" s="492"/>
      <c r="E711" s="491"/>
      <c r="F711" s="493"/>
      <c r="G711" s="491"/>
      <c r="H711" s="491"/>
      <c r="I711" s="494"/>
      <c r="J711" s="495"/>
    </row>
    <row r="712" spans="1:10" s="251" customFormat="1" ht="12" customHeight="1" x14ac:dyDescent="0.15">
      <c r="A712" s="489"/>
      <c r="B712" s="490"/>
      <c r="C712" s="491"/>
      <c r="D712" s="492"/>
      <c r="E712" s="491"/>
      <c r="F712" s="493"/>
      <c r="G712" s="491"/>
      <c r="H712" s="491"/>
      <c r="I712" s="494"/>
      <c r="J712" s="495"/>
    </row>
    <row r="713" spans="1:10" s="251" customFormat="1" ht="12" customHeight="1" x14ac:dyDescent="0.15">
      <c r="A713" s="489"/>
      <c r="B713" s="490"/>
      <c r="C713" s="491"/>
      <c r="D713" s="492"/>
      <c r="E713" s="491"/>
      <c r="F713" s="493"/>
      <c r="G713" s="491"/>
      <c r="H713" s="491"/>
      <c r="I713" s="494"/>
      <c r="J713" s="495"/>
    </row>
    <row r="714" spans="1:10" s="251" customFormat="1" ht="12" customHeight="1" x14ac:dyDescent="0.15">
      <c r="A714" s="489"/>
      <c r="B714" s="490"/>
      <c r="C714" s="491"/>
      <c r="D714" s="492"/>
      <c r="E714" s="491"/>
      <c r="F714" s="493"/>
      <c r="G714" s="491"/>
      <c r="H714" s="491"/>
      <c r="I714" s="494"/>
      <c r="J714" s="495"/>
    </row>
    <row r="715" spans="1:10" s="251" customFormat="1" ht="12" customHeight="1" x14ac:dyDescent="0.15">
      <c r="A715" s="489"/>
      <c r="B715" s="490"/>
      <c r="C715" s="491"/>
      <c r="D715" s="492"/>
      <c r="E715" s="491"/>
      <c r="F715" s="493"/>
      <c r="G715" s="491"/>
      <c r="H715" s="491"/>
      <c r="I715" s="494"/>
      <c r="J715" s="495"/>
    </row>
    <row r="716" spans="1:10" s="251" customFormat="1" ht="12" customHeight="1" x14ac:dyDescent="0.15">
      <c r="A716" s="489"/>
      <c r="B716" s="490"/>
      <c r="C716" s="491"/>
      <c r="D716" s="492"/>
      <c r="E716" s="491"/>
      <c r="F716" s="493"/>
      <c r="G716" s="491"/>
      <c r="H716" s="491"/>
      <c r="I716" s="494"/>
      <c r="J716" s="495"/>
    </row>
    <row r="717" spans="1:10" s="251" customFormat="1" ht="12" customHeight="1" x14ac:dyDescent="0.15">
      <c r="A717" s="489"/>
      <c r="B717" s="490"/>
      <c r="C717" s="491"/>
      <c r="D717" s="492"/>
      <c r="E717" s="491"/>
      <c r="F717" s="493"/>
      <c r="G717" s="491"/>
      <c r="H717" s="491"/>
      <c r="I717" s="494"/>
      <c r="J717" s="495"/>
    </row>
    <row r="718" spans="1:10" s="251" customFormat="1" ht="12" customHeight="1" x14ac:dyDescent="0.15">
      <c r="A718" s="489"/>
      <c r="B718" s="490"/>
      <c r="C718" s="491"/>
      <c r="D718" s="492"/>
      <c r="E718" s="491"/>
      <c r="F718" s="493"/>
      <c r="G718" s="491"/>
      <c r="H718" s="491"/>
      <c r="I718" s="494"/>
      <c r="J718" s="495"/>
    </row>
    <row r="719" spans="1:10" s="251" customFormat="1" ht="12" customHeight="1" x14ac:dyDescent="0.15">
      <c r="A719" s="489"/>
      <c r="B719" s="490"/>
      <c r="C719" s="491"/>
      <c r="D719" s="492"/>
      <c r="E719" s="491"/>
      <c r="F719" s="493"/>
      <c r="G719" s="491"/>
      <c r="H719" s="491"/>
      <c r="I719" s="494"/>
      <c r="J719" s="495"/>
    </row>
    <row r="720" spans="1:10" s="251" customFormat="1" ht="12" customHeight="1" x14ac:dyDescent="0.15">
      <c r="A720" s="489"/>
      <c r="B720" s="490"/>
      <c r="C720" s="491"/>
      <c r="D720" s="492"/>
      <c r="E720" s="491"/>
      <c r="F720" s="493"/>
      <c r="G720" s="491"/>
      <c r="H720" s="491"/>
      <c r="I720" s="494"/>
      <c r="J720" s="495"/>
    </row>
    <row r="721" spans="1:10" s="251" customFormat="1" ht="12" customHeight="1" x14ac:dyDescent="0.15">
      <c r="A721" s="489"/>
      <c r="B721" s="490"/>
      <c r="C721" s="491"/>
      <c r="D721" s="492"/>
      <c r="E721" s="491"/>
      <c r="F721" s="493"/>
      <c r="G721" s="491"/>
      <c r="H721" s="491"/>
      <c r="I721" s="494"/>
      <c r="J721" s="495"/>
    </row>
    <row r="722" spans="1:10" s="251" customFormat="1" ht="12" customHeight="1" x14ac:dyDescent="0.15">
      <c r="A722" s="489"/>
      <c r="B722" s="490"/>
      <c r="C722" s="491"/>
      <c r="D722" s="492"/>
      <c r="E722" s="491"/>
      <c r="F722" s="493"/>
      <c r="G722" s="491"/>
      <c r="H722" s="491"/>
      <c r="I722" s="494"/>
      <c r="J722" s="495"/>
    </row>
    <row r="723" spans="1:10" s="251" customFormat="1" ht="12" customHeight="1" x14ac:dyDescent="0.15">
      <c r="A723" s="489"/>
      <c r="B723" s="490"/>
      <c r="C723" s="491"/>
      <c r="D723" s="492"/>
      <c r="E723" s="491"/>
      <c r="F723" s="493"/>
      <c r="G723" s="491"/>
      <c r="H723" s="491"/>
      <c r="I723" s="494"/>
      <c r="J723" s="495"/>
    </row>
    <row r="724" spans="1:10" s="251" customFormat="1" ht="12" customHeight="1" x14ac:dyDescent="0.15">
      <c r="A724" s="489"/>
      <c r="B724" s="490"/>
      <c r="C724" s="491"/>
      <c r="D724" s="492"/>
      <c r="E724" s="491"/>
      <c r="F724" s="493"/>
      <c r="G724" s="491"/>
      <c r="H724" s="491"/>
      <c r="I724" s="494"/>
      <c r="J724" s="495"/>
    </row>
    <row r="725" spans="1:10" s="251" customFormat="1" ht="12" customHeight="1" x14ac:dyDescent="0.15">
      <c r="A725" s="489"/>
      <c r="B725" s="490"/>
      <c r="C725" s="491"/>
      <c r="D725" s="492"/>
      <c r="E725" s="491"/>
      <c r="F725" s="493"/>
      <c r="G725" s="491"/>
      <c r="H725" s="491"/>
      <c r="I725" s="494"/>
      <c r="J725" s="495"/>
    </row>
    <row r="726" spans="1:10" s="251" customFormat="1" ht="12" customHeight="1" x14ac:dyDescent="0.15">
      <c r="A726" s="489"/>
      <c r="B726" s="490"/>
      <c r="C726" s="491"/>
      <c r="D726" s="492"/>
      <c r="E726" s="491"/>
      <c r="F726" s="493"/>
      <c r="G726" s="491"/>
      <c r="H726" s="491"/>
      <c r="I726" s="494"/>
      <c r="J726" s="495"/>
    </row>
    <row r="727" spans="1:10" s="251" customFormat="1" ht="12" customHeight="1" x14ac:dyDescent="0.15">
      <c r="A727" s="489"/>
      <c r="B727" s="490"/>
      <c r="C727" s="491"/>
      <c r="D727" s="492"/>
      <c r="E727" s="491"/>
      <c r="F727" s="493"/>
      <c r="G727" s="491"/>
      <c r="H727" s="491"/>
      <c r="I727" s="494"/>
      <c r="J727" s="495"/>
    </row>
    <row r="728" spans="1:10" s="251" customFormat="1" ht="12" customHeight="1" x14ac:dyDescent="0.15">
      <c r="A728" s="489"/>
      <c r="B728" s="490"/>
      <c r="C728" s="491"/>
      <c r="D728" s="492"/>
      <c r="E728" s="491"/>
      <c r="F728" s="493"/>
      <c r="G728" s="491"/>
      <c r="H728" s="491"/>
      <c r="I728" s="494"/>
      <c r="J728" s="495"/>
    </row>
    <row r="729" spans="1:10" s="251" customFormat="1" ht="12" customHeight="1" x14ac:dyDescent="0.15">
      <c r="A729" s="489"/>
      <c r="B729" s="490"/>
      <c r="C729" s="491"/>
      <c r="D729" s="492"/>
      <c r="E729" s="491"/>
      <c r="F729" s="493"/>
      <c r="G729" s="491"/>
      <c r="H729" s="491"/>
      <c r="I729" s="494"/>
      <c r="J729" s="495"/>
    </row>
    <row r="730" spans="1:10" s="251" customFormat="1" ht="12" customHeight="1" x14ac:dyDescent="0.15">
      <c r="A730" s="489"/>
      <c r="B730" s="490"/>
      <c r="C730" s="491"/>
      <c r="D730" s="492"/>
      <c r="E730" s="491"/>
      <c r="F730" s="493"/>
      <c r="G730" s="491"/>
      <c r="H730" s="491"/>
      <c r="I730" s="494"/>
      <c r="J730" s="495"/>
    </row>
    <row r="731" spans="1:10" s="251" customFormat="1" ht="12" customHeight="1" x14ac:dyDescent="0.15">
      <c r="A731" s="489"/>
      <c r="B731" s="490"/>
      <c r="C731" s="491"/>
      <c r="D731" s="492"/>
      <c r="E731" s="491"/>
      <c r="F731" s="493"/>
      <c r="G731" s="491"/>
      <c r="H731" s="491"/>
      <c r="I731" s="494"/>
      <c r="J731" s="495"/>
    </row>
    <row r="732" spans="1:10" s="251" customFormat="1" ht="12" customHeight="1" x14ac:dyDescent="0.15">
      <c r="A732" s="489"/>
      <c r="B732" s="490"/>
      <c r="C732" s="491"/>
      <c r="D732" s="492"/>
      <c r="E732" s="491"/>
      <c r="F732" s="493"/>
      <c r="G732" s="491"/>
      <c r="H732" s="491"/>
      <c r="I732" s="494"/>
      <c r="J732" s="495"/>
    </row>
    <row r="733" spans="1:10" s="251" customFormat="1" ht="12" customHeight="1" x14ac:dyDescent="0.15">
      <c r="A733" s="489"/>
      <c r="B733" s="490"/>
      <c r="C733" s="491"/>
      <c r="D733" s="492"/>
      <c r="E733" s="491"/>
      <c r="F733" s="493"/>
      <c r="G733" s="491"/>
      <c r="H733" s="491"/>
      <c r="I733" s="494"/>
      <c r="J733" s="495"/>
    </row>
    <row r="734" spans="1:10" s="251" customFormat="1" ht="12" customHeight="1" x14ac:dyDescent="0.15">
      <c r="A734" s="489"/>
      <c r="B734" s="490"/>
      <c r="C734" s="491"/>
      <c r="D734" s="492"/>
      <c r="E734" s="491"/>
      <c r="F734" s="493"/>
      <c r="G734" s="491"/>
      <c r="H734" s="491"/>
      <c r="I734" s="494"/>
      <c r="J734" s="495"/>
    </row>
    <row r="735" spans="1:10" s="251" customFormat="1" ht="12" customHeight="1" x14ac:dyDescent="0.15">
      <c r="A735" s="489"/>
      <c r="B735" s="490"/>
      <c r="C735" s="491"/>
      <c r="D735" s="492"/>
      <c r="E735" s="491"/>
      <c r="F735" s="493"/>
      <c r="G735" s="491"/>
      <c r="H735" s="491"/>
      <c r="I735" s="494"/>
      <c r="J735" s="495"/>
    </row>
    <row r="736" spans="1:10" s="251" customFormat="1" ht="12" customHeight="1" x14ac:dyDescent="0.15">
      <c r="A736" s="489"/>
      <c r="B736" s="490"/>
      <c r="C736" s="491"/>
      <c r="D736" s="492"/>
      <c r="E736" s="491"/>
      <c r="F736" s="493"/>
      <c r="G736" s="491"/>
      <c r="H736" s="491"/>
      <c r="I736" s="494"/>
      <c r="J736" s="495"/>
    </row>
    <row r="737" spans="1:10" s="251" customFormat="1" ht="12" customHeight="1" x14ac:dyDescent="0.15">
      <c r="A737" s="489"/>
      <c r="B737" s="490"/>
      <c r="C737" s="491"/>
      <c r="D737" s="492"/>
      <c r="E737" s="491"/>
      <c r="F737" s="493"/>
      <c r="G737" s="491"/>
      <c r="H737" s="491"/>
      <c r="I737" s="494"/>
      <c r="J737" s="495"/>
    </row>
    <row r="738" spans="1:10" s="251" customFormat="1" ht="12" customHeight="1" x14ac:dyDescent="0.15">
      <c r="A738" s="489"/>
      <c r="B738" s="490"/>
      <c r="C738" s="491"/>
      <c r="D738" s="492"/>
      <c r="E738" s="491"/>
      <c r="F738" s="493"/>
      <c r="G738" s="491"/>
      <c r="H738" s="491"/>
      <c r="I738" s="494"/>
      <c r="J738" s="495"/>
    </row>
    <row r="739" spans="1:10" s="251" customFormat="1" ht="12" customHeight="1" x14ac:dyDescent="0.15">
      <c r="A739" s="489"/>
      <c r="B739" s="490"/>
      <c r="C739" s="491"/>
      <c r="D739" s="492"/>
      <c r="E739" s="491"/>
      <c r="F739" s="493"/>
      <c r="G739" s="491"/>
      <c r="H739" s="491"/>
      <c r="I739" s="494"/>
      <c r="J739" s="495"/>
    </row>
    <row r="740" spans="1:10" s="251" customFormat="1" ht="12" customHeight="1" x14ac:dyDescent="0.15">
      <c r="A740" s="489"/>
      <c r="B740" s="490"/>
      <c r="C740" s="491"/>
      <c r="D740" s="492"/>
      <c r="E740" s="491"/>
      <c r="F740" s="493"/>
      <c r="G740" s="491"/>
      <c r="H740" s="491"/>
      <c r="I740" s="494"/>
      <c r="J740" s="495"/>
    </row>
    <row r="741" spans="1:10" s="251" customFormat="1" ht="12" customHeight="1" x14ac:dyDescent="0.15">
      <c r="A741" s="489"/>
      <c r="B741" s="490"/>
      <c r="C741" s="491"/>
      <c r="D741" s="492"/>
      <c r="E741" s="491"/>
      <c r="F741" s="493"/>
      <c r="G741" s="491"/>
      <c r="H741" s="491"/>
      <c r="I741" s="494"/>
      <c r="J741" s="495"/>
    </row>
    <row r="742" spans="1:10" s="251" customFormat="1" ht="12" customHeight="1" x14ac:dyDescent="0.15">
      <c r="A742" s="489"/>
      <c r="B742" s="490"/>
      <c r="C742" s="491"/>
      <c r="D742" s="492"/>
      <c r="E742" s="491"/>
      <c r="F742" s="493"/>
      <c r="G742" s="491"/>
      <c r="H742" s="491"/>
      <c r="I742" s="494"/>
      <c r="J742" s="495"/>
    </row>
    <row r="743" spans="1:10" s="251" customFormat="1" ht="12" customHeight="1" x14ac:dyDescent="0.15">
      <c r="A743" s="489"/>
      <c r="B743" s="490"/>
      <c r="C743" s="491"/>
      <c r="D743" s="492"/>
      <c r="E743" s="491"/>
      <c r="F743" s="493"/>
      <c r="G743" s="491"/>
      <c r="H743" s="491"/>
      <c r="I743" s="494"/>
      <c r="J743" s="495"/>
    </row>
    <row r="744" spans="1:10" s="251" customFormat="1" ht="12" customHeight="1" x14ac:dyDescent="0.15">
      <c r="A744" s="489"/>
      <c r="B744" s="490"/>
      <c r="C744" s="491"/>
      <c r="D744" s="492"/>
      <c r="E744" s="491"/>
      <c r="F744" s="493"/>
      <c r="G744" s="491"/>
      <c r="H744" s="491"/>
      <c r="I744" s="494"/>
      <c r="J744" s="495"/>
    </row>
    <row r="745" spans="1:10" s="251" customFormat="1" ht="12" customHeight="1" x14ac:dyDescent="0.15">
      <c r="A745" s="489"/>
      <c r="B745" s="490"/>
      <c r="C745" s="491"/>
      <c r="D745" s="492"/>
      <c r="E745" s="491"/>
      <c r="F745" s="493"/>
      <c r="G745" s="491"/>
      <c r="H745" s="491"/>
      <c r="I745" s="494"/>
      <c r="J745" s="495"/>
    </row>
    <row r="746" spans="1:10" s="251" customFormat="1" ht="12" customHeight="1" x14ac:dyDescent="0.15">
      <c r="A746" s="489"/>
      <c r="B746" s="490"/>
      <c r="C746" s="491"/>
      <c r="D746" s="492"/>
      <c r="E746" s="491"/>
      <c r="F746" s="493"/>
      <c r="G746" s="491"/>
      <c r="H746" s="491"/>
      <c r="I746" s="494"/>
      <c r="J746" s="495"/>
    </row>
    <row r="747" spans="1:10" s="251" customFormat="1" ht="12" customHeight="1" x14ac:dyDescent="0.15">
      <c r="A747" s="489"/>
      <c r="B747" s="490"/>
      <c r="C747" s="491"/>
      <c r="D747" s="492"/>
      <c r="E747" s="491"/>
      <c r="F747" s="493"/>
      <c r="G747" s="491"/>
      <c r="H747" s="491"/>
      <c r="I747" s="494"/>
      <c r="J747" s="495"/>
    </row>
    <row r="748" spans="1:10" s="251" customFormat="1" ht="12" customHeight="1" x14ac:dyDescent="0.15">
      <c r="A748" s="489"/>
      <c r="B748" s="490"/>
      <c r="C748" s="491"/>
      <c r="D748" s="492"/>
      <c r="E748" s="491"/>
      <c r="F748" s="493"/>
      <c r="G748" s="491"/>
      <c r="H748" s="491"/>
      <c r="I748" s="494"/>
      <c r="J748" s="495"/>
    </row>
    <row r="749" spans="1:10" s="251" customFormat="1" ht="12" customHeight="1" x14ac:dyDescent="0.15">
      <c r="A749" s="489"/>
      <c r="B749" s="490"/>
      <c r="C749" s="491"/>
      <c r="D749" s="492"/>
      <c r="E749" s="491"/>
      <c r="F749" s="493"/>
      <c r="G749" s="491"/>
      <c r="H749" s="491"/>
      <c r="I749" s="494"/>
      <c r="J749" s="495"/>
    </row>
    <row r="750" spans="1:10" s="251" customFormat="1" ht="12" customHeight="1" x14ac:dyDescent="0.15">
      <c r="A750" s="489"/>
      <c r="B750" s="490"/>
      <c r="C750" s="491"/>
      <c r="D750" s="492"/>
      <c r="E750" s="491"/>
      <c r="F750" s="493"/>
      <c r="G750" s="491"/>
      <c r="H750" s="491"/>
      <c r="I750" s="494"/>
      <c r="J750" s="495"/>
    </row>
    <row r="751" spans="1:10" s="251" customFormat="1" ht="12" customHeight="1" x14ac:dyDescent="0.15">
      <c r="A751" s="489"/>
      <c r="B751" s="490"/>
      <c r="C751" s="491"/>
      <c r="D751" s="492"/>
      <c r="E751" s="491"/>
      <c r="F751" s="493"/>
      <c r="G751" s="491"/>
      <c r="H751" s="491"/>
      <c r="I751" s="494"/>
      <c r="J751" s="495"/>
    </row>
    <row r="752" spans="1:10" s="251" customFormat="1" ht="12" customHeight="1" x14ac:dyDescent="0.15">
      <c r="A752" s="489"/>
      <c r="B752" s="490"/>
      <c r="C752" s="491"/>
      <c r="D752" s="492"/>
      <c r="E752" s="491"/>
      <c r="F752" s="493"/>
      <c r="G752" s="491"/>
      <c r="H752" s="491"/>
      <c r="I752" s="494"/>
      <c r="J752" s="495"/>
    </row>
    <row r="753" spans="1:10" s="251" customFormat="1" ht="12" customHeight="1" x14ac:dyDescent="0.15">
      <c r="A753" s="489"/>
      <c r="B753" s="490"/>
      <c r="C753" s="491"/>
      <c r="D753" s="492"/>
      <c r="E753" s="491"/>
      <c r="F753" s="493"/>
      <c r="G753" s="491"/>
      <c r="H753" s="491"/>
      <c r="I753" s="494"/>
      <c r="J753" s="495"/>
    </row>
    <row r="754" spans="1:10" s="251" customFormat="1" ht="12" customHeight="1" x14ac:dyDescent="0.15">
      <c r="A754" s="489"/>
      <c r="B754" s="490"/>
      <c r="C754" s="491"/>
      <c r="D754" s="492"/>
      <c r="E754" s="491"/>
      <c r="F754" s="493"/>
      <c r="G754" s="491"/>
      <c r="H754" s="491"/>
      <c r="I754" s="494"/>
      <c r="J754" s="495"/>
    </row>
    <row r="755" spans="1:10" s="251" customFormat="1" ht="12" customHeight="1" x14ac:dyDescent="0.15">
      <c r="A755" s="489"/>
      <c r="B755" s="490"/>
      <c r="C755" s="491"/>
      <c r="D755" s="492"/>
      <c r="E755" s="491"/>
      <c r="F755" s="493"/>
      <c r="G755" s="491"/>
      <c r="H755" s="491"/>
      <c r="I755" s="494"/>
      <c r="J755" s="495"/>
    </row>
    <row r="756" spans="1:10" s="251" customFormat="1" ht="12" customHeight="1" x14ac:dyDescent="0.15">
      <c r="A756" s="489"/>
      <c r="B756" s="490"/>
      <c r="C756" s="491"/>
      <c r="D756" s="492"/>
      <c r="E756" s="491"/>
      <c r="F756" s="493"/>
      <c r="G756" s="491"/>
      <c r="H756" s="491"/>
      <c r="I756" s="494"/>
      <c r="J756" s="495"/>
    </row>
    <row r="757" spans="1:10" s="251" customFormat="1" ht="12" customHeight="1" x14ac:dyDescent="0.15">
      <c r="A757" s="489"/>
      <c r="B757" s="490"/>
      <c r="C757" s="491"/>
      <c r="D757" s="492"/>
      <c r="E757" s="491"/>
      <c r="F757" s="493"/>
      <c r="G757" s="491"/>
      <c r="H757" s="491"/>
      <c r="I757" s="494"/>
      <c r="J757" s="495"/>
    </row>
    <row r="758" spans="1:10" s="251" customFormat="1" ht="12" customHeight="1" x14ac:dyDescent="0.15">
      <c r="A758" s="489"/>
      <c r="B758" s="490"/>
      <c r="C758" s="491"/>
      <c r="D758" s="492"/>
      <c r="E758" s="491"/>
      <c r="F758" s="493"/>
      <c r="G758" s="491"/>
      <c r="H758" s="491"/>
      <c r="I758" s="494"/>
      <c r="J758" s="495"/>
    </row>
    <row r="759" spans="1:10" s="251" customFormat="1" ht="12" customHeight="1" x14ac:dyDescent="0.15">
      <c r="A759" s="489"/>
      <c r="B759" s="490"/>
      <c r="C759" s="491"/>
      <c r="D759" s="492"/>
      <c r="E759" s="491"/>
      <c r="F759" s="493"/>
      <c r="G759" s="491"/>
      <c r="H759" s="491"/>
      <c r="I759" s="494"/>
      <c r="J759" s="495"/>
    </row>
    <row r="760" spans="1:10" s="251" customFormat="1" ht="12" customHeight="1" x14ac:dyDescent="0.15">
      <c r="A760" s="489"/>
      <c r="B760" s="490"/>
      <c r="C760" s="491"/>
      <c r="D760" s="492"/>
      <c r="E760" s="491"/>
      <c r="F760" s="493"/>
      <c r="G760" s="491"/>
      <c r="H760" s="491"/>
      <c r="I760" s="494"/>
      <c r="J760" s="495"/>
    </row>
    <row r="761" spans="1:10" s="251" customFormat="1" ht="12" customHeight="1" x14ac:dyDescent="0.15">
      <c r="A761" s="489"/>
      <c r="B761" s="490"/>
      <c r="C761" s="491"/>
      <c r="D761" s="492"/>
      <c r="E761" s="491"/>
      <c r="F761" s="493"/>
      <c r="G761" s="491"/>
      <c r="H761" s="491"/>
      <c r="I761" s="494"/>
      <c r="J761" s="495"/>
    </row>
    <row r="762" spans="1:10" s="251" customFormat="1" ht="12" customHeight="1" x14ac:dyDescent="0.15">
      <c r="A762" s="489"/>
      <c r="B762" s="490"/>
      <c r="C762" s="491"/>
      <c r="D762" s="492"/>
      <c r="E762" s="491"/>
      <c r="F762" s="493"/>
      <c r="G762" s="491"/>
      <c r="H762" s="491"/>
      <c r="I762" s="494"/>
      <c r="J762" s="495"/>
    </row>
    <row r="763" spans="1:10" s="251" customFormat="1" ht="12" customHeight="1" x14ac:dyDescent="0.15">
      <c r="A763" s="489"/>
      <c r="B763" s="490"/>
      <c r="C763" s="491"/>
      <c r="D763" s="492"/>
      <c r="E763" s="491"/>
      <c r="F763" s="493"/>
      <c r="G763" s="491"/>
      <c r="H763" s="491"/>
      <c r="I763" s="494"/>
      <c r="J763" s="495"/>
    </row>
    <row r="764" spans="1:10" s="251" customFormat="1" ht="12" customHeight="1" x14ac:dyDescent="0.15">
      <c r="A764" s="489"/>
      <c r="B764" s="490"/>
      <c r="C764" s="491"/>
      <c r="D764" s="492"/>
      <c r="E764" s="491"/>
      <c r="F764" s="493"/>
      <c r="G764" s="491"/>
      <c r="H764" s="491"/>
      <c r="I764" s="494"/>
      <c r="J764" s="495"/>
    </row>
    <row r="765" spans="1:10" s="251" customFormat="1" ht="12" customHeight="1" x14ac:dyDescent="0.15">
      <c r="A765" s="489"/>
      <c r="B765" s="490"/>
      <c r="C765" s="491"/>
      <c r="D765" s="492"/>
      <c r="E765" s="491"/>
      <c r="F765" s="493"/>
      <c r="G765" s="491"/>
      <c r="H765" s="491"/>
      <c r="I765" s="494"/>
      <c r="J765" s="495"/>
    </row>
    <row r="766" spans="1:10" s="251" customFormat="1" ht="12" customHeight="1" x14ac:dyDescent="0.15">
      <c r="A766" s="489"/>
      <c r="B766" s="490"/>
      <c r="C766" s="491"/>
      <c r="D766" s="492"/>
      <c r="E766" s="491"/>
      <c r="F766" s="493"/>
      <c r="G766" s="491"/>
      <c r="H766" s="491"/>
      <c r="I766" s="494"/>
      <c r="J766" s="495"/>
    </row>
    <row r="767" spans="1:10" s="251" customFormat="1" ht="12" customHeight="1" x14ac:dyDescent="0.15">
      <c r="A767" s="489"/>
      <c r="B767" s="490"/>
      <c r="C767" s="491"/>
      <c r="D767" s="492"/>
      <c r="E767" s="491"/>
      <c r="F767" s="493"/>
      <c r="G767" s="491"/>
      <c r="H767" s="491"/>
      <c r="I767" s="494"/>
      <c r="J767" s="495"/>
    </row>
    <row r="768" spans="1:10" s="251" customFormat="1" ht="12" customHeight="1" x14ac:dyDescent="0.15">
      <c r="A768" s="489"/>
      <c r="B768" s="490"/>
      <c r="C768" s="491"/>
      <c r="D768" s="492"/>
      <c r="E768" s="491"/>
      <c r="F768" s="493"/>
      <c r="G768" s="491"/>
      <c r="H768" s="491"/>
      <c r="I768" s="494"/>
      <c r="J768" s="495"/>
    </row>
    <row r="769" spans="1:10" s="251" customFormat="1" ht="12" customHeight="1" x14ac:dyDescent="0.15">
      <c r="A769" s="489"/>
      <c r="B769" s="490"/>
      <c r="C769" s="491"/>
      <c r="D769" s="492"/>
      <c r="E769" s="491"/>
      <c r="F769" s="493"/>
      <c r="G769" s="491"/>
      <c r="H769" s="491"/>
      <c r="I769" s="494"/>
      <c r="J769" s="495"/>
    </row>
    <row r="770" spans="1:10" s="251" customFormat="1" ht="12" customHeight="1" x14ac:dyDescent="0.15">
      <c r="A770" s="489"/>
      <c r="B770" s="490"/>
      <c r="C770" s="491"/>
      <c r="D770" s="492"/>
      <c r="E770" s="491"/>
      <c r="F770" s="493"/>
      <c r="G770" s="491"/>
      <c r="H770" s="491"/>
      <c r="I770" s="494"/>
      <c r="J770" s="495"/>
    </row>
    <row r="771" spans="1:10" s="251" customFormat="1" ht="12" customHeight="1" x14ac:dyDescent="0.15">
      <c r="A771" s="489"/>
      <c r="B771" s="490"/>
      <c r="C771" s="491"/>
      <c r="D771" s="492"/>
      <c r="E771" s="491"/>
      <c r="F771" s="493"/>
      <c r="G771" s="491"/>
      <c r="H771" s="491"/>
      <c r="I771" s="494"/>
      <c r="J771" s="495"/>
    </row>
    <row r="772" spans="1:10" s="251" customFormat="1" ht="12" customHeight="1" x14ac:dyDescent="0.15">
      <c r="A772" s="489"/>
      <c r="B772" s="490"/>
      <c r="C772" s="491"/>
      <c r="D772" s="492"/>
      <c r="E772" s="491"/>
      <c r="F772" s="493"/>
      <c r="G772" s="491"/>
      <c r="H772" s="491"/>
      <c r="I772" s="494"/>
      <c r="J772" s="495"/>
    </row>
    <row r="773" spans="1:10" s="251" customFormat="1" ht="12" customHeight="1" x14ac:dyDescent="0.15">
      <c r="A773" s="489"/>
      <c r="B773" s="490"/>
      <c r="C773" s="491"/>
      <c r="D773" s="492"/>
      <c r="E773" s="491"/>
      <c r="F773" s="493"/>
      <c r="G773" s="491"/>
      <c r="H773" s="491"/>
      <c r="I773" s="494"/>
      <c r="J773" s="495"/>
    </row>
    <row r="774" spans="1:10" s="251" customFormat="1" ht="12" customHeight="1" x14ac:dyDescent="0.15">
      <c r="A774" s="489"/>
      <c r="B774" s="490"/>
      <c r="C774" s="491"/>
      <c r="D774" s="492"/>
      <c r="E774" s="491"/>
      <c r="F774" s="493"/>
      <c r="G774" s="491"/>
      <c r="H774" s="491"/>
      <c r="I774" s="494"/>
      <c r="J774" s="495"/>
    </row>
    <row r="775" spans="1:10" s="251" customFormat="1" ht="12" customHeight="1" x14ac:dyDescent="0.15">
      <c r="A775" s="489"/>
      <c r="B775" s="490"/>
      <c r="C775" s="491"/>
      <c r="D775" s="492"/>
      <c r="E775" s="491"/>
      <c r="F775" s="493"/>
      <c r="G775" s="491"/>
      <c r="H775" s="491"/>
      <c r="I775" s="494"/>
      <c r="J775" s="495"/>
    </row>
    <row r="776" spans="1:10" s="251" customFormat="1" ht="12" customHeight="1" x14ac:dyDescent="0.15">
      <c r="A776" s="489"/>
      <c r="B776" s="490"/>
      <c r="C776" s="491"/>
      <c r="D776" s="492"/>
      <c r="E776" s="491"/>
      <c r="F776" s="493"/>
      <c r="G776" s="491"/>
      <c r="H776" s="491"/>
      <c r="I776" s="494"/>
      <c r="J776" s="495"/>
    </row>
    <row r="777" spans="1:10" s="251" customFormat="1" ht="12" customHeight="1" x14ac:dyDescent="0.15">
      <c r="A777" s="489"/>
      <c r="B777" s="490"/>
      <c r="C777" s="491"/>
      <c r="D777" s="492"/>
      <c r="E777" s="491"/>
      <c r="F777" s="493"/>
      <c r="G777" s="491"/>
      <c r="H777" s="491"/>
      <c r="I777" s="494"/>
      <c r="J777" s="495"/>
    </row>
    <row r="778" spans="1:10" s="251" customFormat="1" ht="12" customHeight="1" x14ac:dyDescent="0.15">
      <c r="A778" s="489"/>
      <c r="B778" s="490"/>
      <c r="C778" s="491"/>
      <c r="D778" s="492"/>
      <c r="E778" s="491"/>
      <c r="F778" s="493"/>
      <c r="G778" s="491"/>
      <c r="H778" s="491"/>
      <c r="I778" s="494"/>
      <c r="J778" s="495"/>
    </row>
    <row r="779" spans="1:10" s="251" customFormat="1" ht="12" customHeight="1" x14ac:dyDescent="0.15">
      <c r="A779" s="489"/>
      <c r="B779" s="490"/>
      <c r="C779" s="491"/>
      <c r="D779" s="492"/>
      <c r="E779" s="491"/>
      <c r="F779" s="493"/>
      <c r="G779" s="491"/>
      <c r="H779" s="491"/>
      <c r="I779" s="494"/>
      <c r="J779" s="495"/>
    </row>
    <row r="780" spans="1:10" s="251" customFormat="1" ht="12" customHeight="1" x14ac:dyDescent="0.15">
      <c r="A780" s="489"/>
      <c r="B780" s="490"/>
      <c r="C780" s="491"/>
      <c r="D780" s="492"/>
      <c r="E780" s="491"/>
      <c r="F780" s="493"/>
      <c r="G780" s="491"/>
      <c r="H780" s="491"/>
      <c r="I780" s="494"/>
      <c r="J780" s="495"/>
    </row>
    <row r="781" spans="1:10" s="251" customFormat="1" ht="12" customHeight="1" x14ac:dyDescent="0.15">
      <c r="A781" s="489"/>
      <c r="B781" s="490"/>
      <c r="C781" s="491"/>
      <c r="D781" s="492"/>
      <c r="E781" s="491"/>
      <c r="F781" s="493"/>
      <c r="G781" s="491"/>
      <c r="H781" s="491"/>
      <c r="I781" s="494"/>
      <c r="J781" s="495"/>
    </row>
    <row r="782" spans="1:10" s="251" customFormat="1" ht="12" customHeight="1" x14ac:dyDescent="0.15">
      <c r="A782" s="489"/>
      <c r="B782" s="490"/>
      <c r="C782" s="491"/>
      <c r="D782" s="492"/>
      <c r="E782" s="491"/>
      <c r="F782" s="493"/>
      <c r="G782" s="491"/>
      <c r="H782" s="491"/>
      <c r="I782" s="494"/>
      <c r="J782" s="495"/>
    </row>
    <row r="783" spans="1:10" s="251" customFormat="1" ht="12" customHeight="1" x14ac:dyDescent="0.15">
      <c r="A783" s="489"/>
      <c r="B783" s="490"/>
      <c r="C783" s="491"/>
      <c r="D783" s="492"/>
      <c r="E783" s="491"/>
      <c r="F783" s="493"/>
      <c r="G783" s="491"/>
      <c r="H783" s="491"/>
      <c r="I783" s="494"/>
      <c r="J783" s="495"/>
    </row>
    <row r="784" spans="1:10" s="251" customFormat="1" ht="12" customHeight="1" x14ac:dyDescent="0.15">
      <c r="A784" s="489"/>
      <c r="B784" s="490"/>
      <c r="C784" s="491"/>
      <c r="D784" s="492"/>
      <c r="E784" s="491"/>
      <c r="F784" s="493"/>
      <c r="G784" s="491"/>
      <c r="H784" s="491"/>
      <c r="I784" s="494"/>
      <c r="J784" s="495"/>
    </row>
    <row r="785" spans="1:10" s="251" customFormat="1" ht="12" customHeight="1" x14ac:dyDescent="0.15">
      <c r="A785" s="489"/>
      <c r="B785" s="490"/>
      <c r="C785" s="491"/>
      <c r="D785" s="492"/>
      <c r="E785" s="491"/>
      <c r="F785" s="493"/>
      <c r="G785" s="491"/>
      <c r="H785" s="491"/>
      <c r="I785" s="494"/>
      <c r="J785" s="495"/>
    </row>
    <row r="786" spans="1:10" s="251" customFormat="1" ht="12" customHeight="1" x14ac:dyDescent="0.15">
      <c r="A786" s="489"/>
      <c r="B786" s="490"/>
      <c r="C786" s="491"/>
      <c r="D786" s="492"/>
      <c r="E786" s="491"/>
      <c r="F786" s="493"/>
      <c r="G786" s="491"/>
      <c r="H786" s="491"/>
      <c r="I786" s="494"/>
      <c r="J786" s="495"/>
    </row>
    <row r="787" spans="1:10" s="251" customFormat="1" ht="12" customHeight="1" x14ac:dyDescent="0.15">
      <c r="A787" s="489"/>
      <c r="B787" s="490"/>
      <c r="C787" s="491"/>
      <c r="D787" s="492"/>
      <c r="E787" s="491"/>
      <c r="F787" s="493"/>
      <c r="G787" s="491"/>
      <c r="H787" s="491"/>
      <c r="I787" s="494"/>
      <c r="J787" s="495"/>
    </row>
    <row r="788" spans="1:10" s="251" customFormat="1" ht="12" customHeight="1" x14ac:dyDescent="0.15">
      <c r="A788" s="489"/>
      <c r="B788" s="490"/>
      <c r="C788" s="491"/>
      <c r="D788" s="492"/>
      <c r="E788" s="491"/>
      <c r="F788" s="493"/>
      <c r="G788" s="491"/>
      <c r="H788" s="491"/>
      <c r="I788" s="494"/>
      <c r="J788" s="495"/>
    </row>
    <row r="789" spans="1:10" s="251" customFormat="1" ht="12" customHeight="1" x14ac:dyDescent="0.15">
      <c r="A789" s="489"/>
      <c r="B789" s="490"/>
      <c r="C789" s="491"/>
      <c r="D789" s="492"/>
      <c r="E789" s="491"/>
      <c r="F789" s="493"/>
      <c r="G789" s="491"/>
      <c r="H789" s="491"/>
      <c r="I789" s="494"/>
      <c r="J789" s="495"/>
    </row>
    <row r="790" spans="1:10" s="251" customFormat="1" ht="12" customHeight="1" x14ac:dyDescent="0.15">
      <c r="A790" s="489"/>
      <c r="B790" s="490"/>
      <c r="C790" s="491"/>
      <c r="D790" s="492"/>
      <c r="E790" s="491"/>
      <c r="F790" s="493"/>
      <c r="G790" s="491"/>
      <c r="H790" s="491"/>
      <c r="I790" s="494"/>
      <c r="J790" s="495"/>
    </row>
    <row r="791" spans="1:10" s="251" customFormat="1" ht="12" customHeight="1" x14ac:dyDescent="0.15">
      <c r="A791" s="489"/>
      <c r="B791" s="490"/>
      <c r="C791" s="491"/>
      <c r="D791" s="492"/>
      <c r="E791" s="491"/>
      <c r="F791" s="493"/>
      <c r="G791" s="491"/>
      <c r="H791" s="491"/>
      <c r="I791" s="494"/>
      <c r="J791" s="495"/>
    </row>
    <row r="792" spans="1:10" s="251" customFormat="1" ht="12" customHeight="1" x14ac:dyDescent="0.15">
      <c r="A792" s="489"/>
      <c r="B792" s="490"/>
      <c r="C792" s="491"/>
      <c r="D792" s="492"/>
      <c r="E792" s="491"/>
      <c r="F792" s="493"/>
      <c r="G792" s="491"/>
      <c r="H792" s="491"/>
      <c r="I792" s="494"/>
      <c r="J792" s="495"/>
    </row>
    <row r="793" spans="1:10" s="251" customFormat="1" ht="12" customHeight="1" x14ac:dyDescent="0.15">
      <c r="A793" s="489"/>
      <c r="B793" s="490"/>
      <c r="C793" s="491"/>
      <c r="D793" s="492"/>
      <c r="E793" s="491"/>
      <c r="F793" s="493"/>
      <c r="G793" s="491"/>
      <c r="H793" s="491"/>
      <c r="I793" s="494"/>
      <c r="J793" s="495"/>
    </row>
    <row r="794" spans="1:10" s="251" customFormat="1" ht="12" customHeight="1" x14ac:dyDescent="0.15">
      <c r="A794" s="489"/>
      <c r="B794" s="490"/>
      <c r="C794" s="491"/>
      <c r="D794" s="492"/>
      <c r="E794" s="491"/>
      <c r="F794" s="493"/>
      <c r="G794" s="491"/>
      <c r="H794" s="491"/>
      <c r="I794" s="494"/>
      <c r="J794" s="495"/>
    </row>
    <row r="795" spans="1:10" s="251" customFormat="1" ht="12" customHeight="1" x14ac:dyDescent="0.15">
      <c r="A795" s="489"/>
      <c r="B795" s="490"/>
      <c r="C795" s="491"/>
      <c r="D795" s="492"/>
      <c r="E795" s="491"/>
      <c r="F795" s="493"/>
      <c r="G795" s="491"/>
      <c r="H795" s="491"/>
      <c r="I795" s="494"/>
      <c r="J795" s="495"/>
    </row>
    <row r="796" spans="1:10" s="251" customFormat="1" ht="12" customHeight="1" x14ac:dyDescent="0.15">
      <c r="A796" s="489"/>
      <c r="B796" s="490"/>
      <c r="C796" s="491"/>
      <c r="D796" s="492"/>
      <c r="E796" s="491"/>
      <c r="F796" s="493"/>
      <c r="G796" s="491"/>
      <c r="H796" s="491"/>
      <c r="I796" s="494"/>
      <c r="J796" s="495"/>
    </row>
    <row r="797" spans="1:10" s="251" customFormat="1" ht="12" customHeight="1" x14ac:dyDescent="0.15">
      <c r="A797" s="489"/>
      <c r="B797" s="490"/>
      <c r="C797" s="491"/>
      <c r="D797" s="492"/>
      <c r="E797" s="491"/>
      <c r="F797" s="493"/>
      <c r="G797" s="491"/>
      <c r="H797" s="491"/>
      <c r="I797" s="494"/>
      <c r="J797" s="495"/>
    </row>
    <row r="798" spans="1:10" s="251" customFormat="1" ht="12" customHeight="1" x14ac:dyDescent="0.15">
      <c r="A798" s="489"/>
      <c r="B798" s="490"/>
      <c r="C798" s="491"/>
      <c r="D798" s="492"/>
      <c r="E798" s="491"/>
      <c r="F798" s="493"/>
      <c r="G798" s="491"/>
      <c r="H798" s="491"/>
      <c r="I798" s="494"/>
      <c r="J798" s="495"/>
    </row>
    <row r="799" spans="1:10" s="251" customFormat="1" ht="12" customHeight="1" x14ac:dyDescent="0.15">
      <c r="A799" s="489"/>
      <c r="B799" s="490"/>
      <c r="C799" s="491"/>
      <c r="D799" s="492"/>
      <c r="E799" s="491"/>
      <c r="F799" s="493"/>
      <c r="G799" s="491"/>
      <c r="H799" s="491"/>
      <c r="I799" s="494"/>
      <c r="J799" s="495"/>
    </row>
    <row r="800" spans="1:10" s="251" customFormat="1" ht="12" customHeight="1" x14ac:dyDescent="0.15">
      <c r="A800" s="489"/>
      <c r="B800" s="490"/>
      <c r="C800" s="491"/>
      <c r="D800" s="492"/>
      <c r="E800" s="491"/>
      <c r="F800" s="493"/>
      <c r="G800" s="491"/>
      <c r="H800" s="491"/>
      <c r="I800" s="494"/>
      <c r="J800" s="495"/>
    </row>
    <row r="801" spans="1:10" s="251" customFormat="1" ht="12" customHeight="1" x14ac:dyDescent="0.15">
      <c r="A801" s="489"/>
      <c r="B801" s="490"/>
      <c r="C801" s="491"/>
      <c r="D801" s="492"/>
      <c r="E801" s="491"/>
      <c r="F801" s="493"/>
      <c r="G801" s="491"/>
      <c r="H801" s="491"/>
      <c r="I801" s="494"/>
      <c r="J801" s="495"/>
    </row>
    <row r="802" spans="1:10" s="251" customFormat="1" ht="12" customHeight="1" x14ac:dyDescent="0.15">
      <c r="A802" s="489"/>
      <c r="B802" s="490"/>
      <c r="C802" s="491"/>
      <c r="D802" s="492"/>
      <c r="E802" s="491"/>
      <c r="F802" s="493"/>
      <c r="G802" s="491"/>
      <c r="H802" s="491"/>
      <c r="I802" s="494"/>
      <c r="J802" s="495"/>
    </row>
    <row r="803" spans="1:10" s="251" customFormat="1" ht="12" customHeight="1" x14ac:dyDescent="0.15">
      <c r="A803" s="489"/>
      <c r="B803" s="490"/>
      <c r="C803" s="491"/>
      <c r="D803" s="492"/>
      <c r="E803" s="491"/>
      <c r="F803" s="493"/>
      <c r="G803" s="491"/>
      <c r="H803" s="491"/>
      <c r="I803" s="494"/>
      <c r="J803" s="495"/>
    </row>
    <row r="804" spans="1:10" s="251" customFormat="1" ht="12" customHeight="1" x14ac:dyDescent="0.15">
      <c r="A804" s="489"/>
      <c r="B804" s="490"/>
      <c r="C804" s="491"/>
      <c r="D804" s="492"/>
      <c r="E804" s="491"/>
      <c r="F804" s="493"/>
      <c r="G804" s="491"/>
      <c r="H804" s="491"/>
      <c r="I804" s="494"/>
      <c r="J804" s="495"/>
    </row>
    <row r="805" spans="1:10" s="251" customFormat="1" ht="12" customHeight="1" x14ac:dyDescent="0.15">
      <c r="A805" s="489"/>
      <c r="B805" s="490"/>
      <c r="C805" s="491"/>
      <c r="D805" s="492"/>
      <c r="E805" s="491"/>
      <c r="F805" s="493"/>
      <c r="G805" s="491"/>
      <c r="H805" s="491"/>
      <c r="I805" s="494"/>
      <c r="J805" s="495"/>
    </row>
    <row r="806" spans="1:10" s="251" customFormat="1" ht="12" customHeight="1" x14ac:dyDescent="0.15">
      <c r="A806" s="489"/>
      <c r="B806" s="490"/>
      <c r="C806" s="491"/>
      <c r="D806" s="492"/>
      <c r="E806" s="491"/>
      <c r="F806" s="493"/>
      <c r="G806" s="491"/>
      <c r="H806" s="491"/>
      <c r="I806" s="494"/>
      <c r="J806" s="495"/>
    </row>
    <row r="807" spans="1:10" s="251" customFormat="1" ht="12" customHeight="1" x14ac:dyDescent="0.15">
      <c r="A807" s="489"/>
      <c r="B807" s="490"/>
      <c r="C807" s="491"/>
      <c r="D807" s="492"/>
      <c r="E807" s="491"/>
      <c r="F807" s="493"/>
      <c r="G807" s="491"/>
      <c r="H807" s="491"/>
      <c r="I807" s="494"/>
      <c r="J807" s="495"/>
    </row>
    <row r="808" spans="1:10" s="251" customFormat="1" ht="12" customHeight="1" x14ac:dyDescent="0.15">
      <c r="A808" s="489"/>
      <c r="B808" s="490"/>
      <c r="C808" s="491"/>
      <c r="D808" s="492"/>
      <c r="E808" s="491"/>
      <c r="F808" s="493"/>
      <c r="G808" s="491"/>
      <c r="H808" s="491"/>
      <c r="I808" s="494"/>
      <c r="J808" s="495"/>
    </row>
    <row r="809" spans="1:10" s="251" customFormat="1" ht="12" customHeight="1" x14ac:dyDescent="0.15">
      <c r="A809" s="489"/>
      <c r="B809" s="490"/>
      <c r="C809" s="491"/>
      <c r="D809" s="492"/>
      <c r="E809" s="491"/>
      <c r="F809" s="493"/>
      <c r="G809" s="491"/>
      <c r="H809" s="491"/>
      <c r="I809" s="494"/>
      <c r="J809" s="495"/>
    </row>
    <row r="810" spans="1:10" s="251" customFormat="1" ht="12" customHeight="1" x14ac:dyDescent="0.15">
      <c r="A810" s="489"/>
      <c r="B810" s="490"/>
      <c r="C810" s="491"/>
      <c r="D810" s="492"/>
      <c r="E810" s="491"/>
      <c r="F810" s="493"/>
      <c r="G810" s="491"/>
      <c r="H810" s="491"/>
      <c r="I810" s="494"/>
      <c r="J810" s="495"/>
    </row>
    <row r="811" spans="1:10" s="251" customFormat="1" ht="12" customHeight="1" x14ac:dyDescent="0.15">
      <c r="A811" s="489"/>
      <c r="B811" s="490"/>
      <c r="C811" s="491"/>
      <c r="D811" s="492"/>
      <c r="E811" s="491"/>
      <c r="F811" s="493"/>
      <c r="G811" s="491"/>
      <c r="H811" s="491"/>
      <c r="I811" s="494"/>
      <c r="J811" s="495"/>
    </row>
    <row r="812" spans="1:10" s="251" customFormat="1" ht="12" customHeight="1" x14ac:dyDescent="0.15">
      <c r="A812" s="489"/>
      <c r="B812" s="490"/>
      <c r="C812" s="491"/>
      <c r="D812" s="492"/>
      <c r="E812" s="491"/>
      <c r="F812" s="493"/>
      <c r="G812" s="491"/>
      <c r="H812" s="491"/>
      <c r="I812" s="494"/>
      <c r="J812" s="495"/>
    </row>
    <row r="813" spans="1:10" s="251" customFormat="1" ht="12" customHeight="1" x14ac:dyDescent="0.15">
      <c r="A813" s="489"/>
      <c r="B813" s="490"/>
      <c r="C813" s="491"/>
      <c r="D813" s="492"/>
      <c r="E813" s="491"/>
      <c r="F813" s="493"/>
      <c r="G813" s="491"/>
      <c r="H813" s="491"/>
      <c r="I813" s="494"/>
      <c r="J813" s="495"/>
    </row>
    <row r="814" spans="1:10" s="251" customFormat="1" ht="12" customHeight="1" x14ac:dyDescent="0.15">
      <c r="A814" s="489"/>
      <c r="B814" s="490"/>
      <c r="C814" s="491"/>
      <c r="D814" s="492"/>
      <c r="E814" s="491"/>
      <c r="F814" s="493"/>
      <c r="G814" s="491"/>
      <c r="H814" s="491"/>
      <c r="I814" s="494"/>
      <c r="J814" s="495"/>
    </row>
    <row r="815" spans="1:10" s="251" customFormat="1" ht="12" customHeight="1" x14ac:dyDescent="0.15">
      <c r="A815" s="489"/>
      <c r="B815" s="490"/>
      <c r="C815" s="491"/>
      <c r="D815" s="492"/>
      <c r="E815" s="491"/>
      <c r="F815" s="493"/>
      <c r="G815" s="491"/>
      <c r="H815" s="491"/>
      <c r="I815" s="494"/>
      <c r="J815" s="495"/>
    </row>
    <row r="816" spans="1:10" s="251" customFormat="1" ht="12" customHeight="1" x14ac:dyDescent="0.15">
      <c r="A816" s="489"/>
      <c r="B816" s="490"/>
      <c r="C816" s="491"/>
      <c r="D816" s="492"/>
      <c r="E816" s="491"/>
      <c r="F816" s="493"/>
      <c r="G816" s="491"/>
      <c r="H816" s="491"/>
      <c r="I816" s="494"/>
      <c r="J816" s="495"/>
    </row>
    <row r="817" spans="1:10" s="251" customFormat="1" ht="12" customHeight="1" x14ac:dyDescent="0.15">
      <c r="A817" s="489"/>
      <c r="B817" s="490"/>
      <c r="C817" s="491"/>
      <c r="D817" s="492"/>
      <c r="E817" s="491"/>
      <c r="F817" s="493"/>
      <c r="G817" s="491"/>
      <c r="H817" s="491"/>
      <c r="I817" s="494"/>
      <c r="J817" s="495"/>
    </row>
    <row r="818" spans="1:10" s="251" customFormat="1" ht="12" customHeight="1" x14ac:dyDescent="0.15">
      <c r="A818" s="489"/>
      <c r="B818" s="490"/>
      <c r="C818" s="491"/>
      <c r="D818" s="492"/>
      <c r="E818" s="491"/>
      <c r="F818" s="493"/>
      <c r="G818" s="491"/>
      <c r="H818" s="491"/>
      <c r="I818" s="494"/>
      <c r="J818" s="495"/>
    </row>
    <row r="819" spans="1:10" s="251" customFormat="1" ht="12" customHeight="1" x14ac:dyDescent="0.15">
      <c r="A819" s="489"/>
      <c r="B819" s="490"/>
      <c r="C819" s="491"/>
      <c r="D819" s="492"/>
      <c r="E819" s="491"/>
      <c r="F819" s="493"/>
      <c r="G819" s="491"/>
      <c r="H819" s="491"/>
      <c r="I819" s="494"/>
      <c r="J819" s="495"/>
    </row>
    <row r="820" spans="1:10" s="251" customFormat="1" ht="12" customHeight="1" x14ac:dyDescent="0.15">
      <c r="A820" s="489"/>
      <c r="B820" s="490"/>
      <c r="C820" s="491"/>
      <c r="D820" s="492"/>
      <c r="E820" s="491"/>
      <c r="F820" s="493"/>
      <c r="G820" s="491"/>
      <c r="H820" s="491"/>
      <c r="I820" s="494"/>
      <c r="J820" s="495"/>
    </row>
    <row r="821" spans="1:10" s="251" customFormat="1" ht="12" customHeight="1" x14ac:dyDescent="0.15">
      <c r="A821" s="489"/>
      <c r="B821" s="490"/>
      <c r="C821" s="491"/>
      <c r="D821" s="492"/>
      <c r="E821" s="491"/>
      <c r="F821" s="493"/>
      <c r="G821" s="491"/>
      <c r="H821" s="491"/>
      <c r="I821" s="494"/>
      <c r="J821" s="495"/>
    </row>
    <row r="822" spans="1:10" s="251" customFormat="1" ht="12" customHeight="1" x14ac:dyDescent="0.15">
      <c r="A822" s="489"/>
      <c r="B822" s="490"/>
      <c r="C822" s="491"/>
      <c r="D822" s="492"/>
      <c r="E822" s="491"/>
      <c r="F822" s="493"/>
      <c r="G822" s="491"/>
      <c r="H822" s="491"/>
      <c r="I822" s="494"/>
      <c r="J822" s="495"/>
    </row>
    <row r="823" spans="1:10" s="251" customFormat="1" ht="12" customHeight="1" x14ac:dyDescent="0.15">
      <c r="A823" s="489"/>
      <c r="B823" s="490"/>
      <c r="C823" s="491"/>
      <c r="D823" s="492"/>
      <c r="E823" s="491"/>
      <c r="F823" s="493"/>
      <c r="G823" s="491"/>
      <c r="H823" s="491"/>
      <c r="I823" s="494"/>
      <c r="J823" s="495"/>
    </row>
    <row r="824" spans="1:10" s="251" customFormat="1" ht="12" customHeight="1" x14ac:dyDescent="0.15">
      <c r="A824" s="489"/>
      <c r="B824" s="490"/>
      <c r="C824" s="491"/>
      <c r="D824" s="492"/>
      <c r="E824" s="491"/>
      <c r="F824" s="493"/>
      <c r="G824" s="491"/>
      <c r="H824" s="491"/>
      <c r="I824" s="494"/>
      <c r="J824" s="495"/>
    </row>
    <row r="825" spans="1:10" s="251" customFormat="1" ht="12" customHeight="1" x14ac:dyDescent="0.15">
      <c r="A825" s="489"/>
      <c r="B825" s="490"/>
      <c r="C825" s="491"/>
      <c r="D825" s="492"/>
      <c r="E825" s="491"/>
      <c r="F825" s="493"/>
      <c r="G825" s="491"/>
      <c r="H825" s="491"/>
      <c r="I825" s="494"/>
      <c r="J825" s="495"/>
    </row>
    <row r="826" spans="1:10" s="251" customFormat="1" ht="12" customHeight="1" x14ac:dyDescent="0.15">
      <c r="A826" s="489"/>
      <c r="B826" s="490"/>
      <c r="C826" s="491"/>
      <c r="D826" s="492"/>
      <c r="E826" s="491"/>
      <c r="F826" s="493"/>
      <c r="G826" s="491"/>
      <c r="H826" s="491"/>
      <c r="I826" s="494"/>
      <c r="J826" s="495"/>
    </row>
    <row r="827" spans="1:10" s="251" customFormat="1" ht="12" customHeight="1" x14ac:dyDescent="0.15">
      <c r="A827" s="489"/>
      <c r="B827" s="490"/>
      <c r="C827" s="491"/>
      <c r="D827" s="492"/>
      <c r="E827" s="491"/>
      <c r="F827" s="493"/>
      <c r="G827" s="491"/>
      <c r="H827" s="491"/>
      <c r="I827" s="494"/>
      <c r="J827" s="495"/>
    </row>
    <row r="828" spans="1:10" s="251" customFormat="1" ht="12" customHeight="1" x14ac:dyDescent="0.15">
      <c r="A828" s="489"/>
      <c r="B828" s="490"/>
      <c r="C828" s="491"/>
      <c r="D828" s="492"/>
      <c r="E828" s="491"/>
      <c r="F828" s="493"/>
      <c r="G828" s="491"/>
      <c r="H828" s="491"/>
      <c r="I828" s="494"/>
      <c r="J828" s="495"/>
    </row>
    <row r="829" spans="1:10" s="251" customFormat="1" ht="12" customHeight="1" x14ac:dyDescent="0.15">
      <c r="A829" s="489"/>
      <c r="B829" s="490"/>
      <c r="C829" s="491"/>
      <c r="D829" s="492"/>
      <c r="E829" s="491"/>
      <c r="F829" s="493"/>
      <c r="G829" s="491"/>
      <c r="H829" s="491"/>
      <c r="I829" s="494"/>
      <c r="J829" s="495"/>
    </row>
    <row r="830" spans="1:10" s="251" customFormat="1" ht="12" customHeight="1" x14ac:dyDescent="0.15">
      <c r="A830" s="489"/>
      <c r="B830" s="490"/>
      <c r="C830" s="491"/>
      <c r="D830" s="492"/>
      <c r="E830" s="491"/>
      <c r="F830" s="493"/>
      <c r="G830" s="491"/>
      <c r="H830" s="491"/>
      <c r="I830" s="494"/>
      <c r="J830" s="495"/>
    </row>
    <row r="831" spans="1:10" s="251" customFormat="1" ht="12" customHeight="1" x14ac:dyDescent="0.15">
      <c r="A831" s="489"/>
      <c r="B831" s="490"/>
      <c r="C831" s="491"/>
      <c r="D831" s="492"/>
      <c r="E831" s="491"/>
      <c r="F831" s="493"/>
      <c r="G831" s="491"/>
      <c r="H831" s="491"/>
      <c r="I831" s="494"/>
      <c r="J831" s="495"/>
    </row>
    <row r="832" spans="1:10" s="251" customFormat="1" ht="12" customHeight="1" x14ac:dyDescent="0.15">
      <c r="A832" s="489"/>
      <c r="B832" s="490"/>
      <c r="C832" s="491"/>
      <c r="D832" s="492"/>
      <c r="E832" s="491"/>
      <c r="F832" s="493"/>
      <c r="G832" s="491"/>
      <c r="H832" s="491"/>
      <c r="I832" s="494"/>
      <c r="J832" s="495"/>
    </row>
    <row r="833" spans="1:10" s="251" customFormat="1" ht="12" customHeight="1" x14ac:dyDescent="0.15">
      <c r="A833" s="489"/>
      <c r="B833" s="490"/>
      <c r="C833" s="491"/>
      <c r="D833" s="492"/>
      <c r="E833" s="491"/>
      <c r="F833" s="493"/>
      <c r="G833" s="491"/>
      <c r="H833" s="491"/>
      <c r="I833" s="494"/>
      <c r="J833" s="495"/>
    </row>
    <row r="834" spans="1:10" s="251" customFormat="1" ht="12" customHeight="1" x14ac:dyDescent="0.15">
      <c r="A834" s="489"/>
      <c r="B834" s="490"/>
      <c r="C834" s="491"/>
      <c r="D834" s="492"/>
      <c r="E834" s="491"/>
      <c r="F834" s="493"/>
      <c r="G834" s="491"/>
      <c r="H834" s="491"/>
      <c r="I834" s="494"/>
      <c r="J834" s="495"/>
    </row>
    <row r="835" spans="1:10" s="251" customFormat="1" ht="12" customHeight="1" x14ac:dyDescent="0.15">
      <c r="A835" s="489"/>
      <c r="B835" s="490"/>
      <c r="C835" s="491"/>
      <c r="D835" s="492"/>
      <c r="E835" s="491"/>
      <c r="F835" s="493"/>
      <c r="G835" s="491"/>
      <c r="H835" s="491"/>
      <c r="I835" s="494"/>
      <c r="J835" s="495"/>
    </row>
    <row r="836" spans="1:10" s="251" customFormat="1" ht="12" customHeight="1" x14ac:dyDescent="0.15">
      <c r="A836" s="489"/>
      <c r="B836" s="490"/>
      <c r="C836" s="491"/>
      <c r="D836" s="492"/>
      <c r="E836" s="491"/>
      <c r="F836" s="493"/>
      <c r="G836" s="491"/>
      <c r="H836" s="491"/>
      <c r="I836" s="494"/>
      <c r="J836" s="495"/>
    </row>
    <row r="837" spans="1:10" s="251" customFormat="1" ht="12" customHeight="1" x14ac:dyDescent="0.15">
      <c r="A837" s="489"/>
      <c r="B837" s="490"/>
      <c r="C837" s="491"/>
      <c r="D837" s="492"/>
      <c r="E837" s="491"/>
      <c r="F837" s="493"/>
      <c r="G837" s="491"/>
      <c r="H837" s="491"/>
      <c r="I837" s="494"/>
      <c r="J837" s="495"/>
    </row>
    <row r="838" spans="1:10" s="251" customFormat="1" ht="12" customHeight="1" x14ac:dyDescent="0.15">
      <c r="A838" s="489"/>
      <c r="B838" s="490"/>
      <c r="C838" s="491"/>
      <c r="D838" s="492"/>
      <c r="E838" s="491"/>
      <c r="F838" s="493"/>
      <c r="G838" s="491"/>
      <c r="H838" s="491"/>
      <c r="I838" s="494"/>
      <c r="J838" s="495"/>
    </row>
    <row r="839" spans="1:10" s="251" customFormat="1" ht="12" customHeight="1" x14ac:dyDescent="0.15">
      <c r="A839" s="489"/>
      <c r="B839" s="490"/>
      <c r="C839" s="491"/>
      <c r="D839" s="492"/>
      <c r="E839" s="491"/>
      <c r="F839" s="493"/>
      <c r="G839" s="491"/>
      <c r="H839" s="491"/>
      <c r="I839" s="494"/>
      <c r="J839" s="495"/>
    </row>
    <row r="840" spans="1:10" s="251" customFormat="1" ht="12" customHeight="1" x14ac:dyDescent="0.15">
      <c r="A840" s="489"/>
      <c r="B840" s="490"/>
      <c r="C840" s="491"/>
      <c r="D840" s="492"/>
      <c r="E840" s="491"/>
      <c r="F840" s="493"/>
      <c r="G840" s="491"/>
      <c r="H840" s="491"/>
      <c r="I840" s="494"/>
      <c r="J840" s="495"/>
    </row>
    <row r="841" spans="1:10" s="251" customFormat="1" ht="12" customHeight="1" x14ac:dyDescent="0.15">
      <c r="A841" s="489"/>
      <c r="B841" s="490"/>
      <c r="C841" s="491"/>
      <c r="D841" s="492"/>
      <c r="E841" s="491"/>
      <c r="F841" s="493"/>
      <c r="G841" s="491"/>
      <c r="H841" s="491"/>
      <c r="I841" s="494"/>
      <c r="J841" s="495"/>
    </row>
    <row r="842" spans="1:10" s="251" customFormat="1" ht="12" customHeight="1" x14ac:dyDescent="0.15">
      <c r="A842" s="489"/>
      <c r="B842" s="490"/>
      <c r="C842" s="491"/>
      <c r="D842" s="492"/>
      <c r="E842" s="491"/>
      <c r="F842" s="493"/>
      <c r="G842" s="491"/>
      <c r="H842" s="491"/>
      <c r="I842" s="494"/>
      <c r="J842" s="495"/>
    </row>
    <row r="843" spans="1:10" s="251" customFormat="1" ht="12" customHeight="1" x14ac:dyDescent="0.15">
      <c r="A843" s="489"/>
      <c r="B843" s="490"/>
      <c r="C843" s="491"/>
      <c r="D843" s="492"/>
      <c r="E843" s="491"/>
      <c r="F843" s="493"/>
      <c r="G843" s="491"/>
      <c r="H843" s="491"/>
      <c r="I843" s="494"/>
      <c r="J843" s="495"/>
    </row>
    <row r="844" spans="1:10" s="251" customFormat="1" ht="12" customHeight="1" x14ac:dyDescent="0.15">
      <c r="A844" s="489"/>
      <c r="B844" s="490"/>
      <c r="C844" s="491"/>
      <c r="D844" s="492"/>
      <c r="E844" s="491"/>
      <c r="F844" s="493"/>
      <c r="G844" s="491"/>
      <c r="H844" s="491"/>
      <c r="I844" s="494"/>
      <c r="J844" s="495"/>
    </row>
    <row r="845" spans="1:10" s="251" customFormat="1" ht="12" customHeight="1" x14ac:dyDescent="0.15">
      <c r="A845" s="489"/>
      <c r="B845" s="490"/>
      <c r="C845" s="491"/>
      <c r="D845" s="492"/>
      <c r="E845" s="491"/>
      <c r="F845" s="493"/>
      <c r="G845" s="491"/>
      <c r="H845" s="491"/>
      <c r="I845" s="494"/>
      <c r="J845" s="495"/>
    </row>
    <row r="846" spans="1:10" s="251" customFormat="1" ht="12" customHeight="1" x14ac:dyDescent="0.15">
      <c r="A846" s="489"/>
      <c r="B846" s="490"/>
      <c r="C846" s="491"/>
      <c r="D846" s="492"/>
      <c r="E846" s="491"/>
      <c r="F846" s="493"/>
      <c r="G846" s="491"/>
      <c r="H846" s="491"/>
      <c r="I846" s="494"/>
      <c r="J846" s="495"/>
    </row>
    <row r="847" spans="1:10" s="251" customFormat="1" ht="12" customHeight="1" x14ac:dyDescent="0.15">
      <c r="A847" s="489"/>
      <c r="B847" s="490"/>
      <c r="C847" s="491"/>
      <c r="D847" s="492"/>
      <c r="E847" s="491"/>
      <c r="F847" s="493"/>
      <c r="G847" s="491"/>
      <c r="H847" s="491"/>
      <c r="I847" s="494"/>
      <c r="J847" s="495"/>
    </row>
    <row r="848" spans="1:10" s="251" customFormat="1" ht="12" customHeight="1" x14ac:dyDescent="0.15">
      <c r="A848" s="489"/>
      <c r="B848" s="490"/>
      <c r="C848" s="491"/>
      <c r="D848" s="492"/>
      <c r="E848" s="491"/>
      <c r="F848" s="493"/>
      <c r="G848" s="491"/>
      <c r="H848" s="491"/>
      <c r="I848" s="494"/>
      <c r="J848" s="495"/>
    </row>
    <row r="849" spans="1:10" s="251" customFormat="1" ht="12" customHeight="1" x14ac:dyDescent="0.15">
      <c r="A849" s="489"/>
      <c r="B849" s="490"/>
      <c r="C849" s="491"/>
      <c r="D849" s="492"/>
      <c r="E849" s="491"/>
      <c r="F849" s="493"/>
      <c r="G849" s="491"/>
      <c r="H849" s="491"/>
      <c r="I849" s="494"/>
      <c r="J849" s="495"/>
    </row>
    <row r="850" spans="1:10" s="251" customFormat="1" ht="12" customHeight="1" x14ac:dyDescent="0.15">
      <c r="A850" s="489"/>
      <c r="B850" s="490"/>
      <c r="C850" s="491"/>
      <c r="D850" s="492"/>
      <c r="E850" s="491"/>
      <c r="F850" s="493"/>
      <c r="G850" s="491"/>
      <c r="H850" s="491"/>
      <c r="I850" s="494"/>
      <c r="J850" s="495"/>
    </row>
    <row r="851" spans="1:10" s="251" customFormat="1" ht="12" customHeight="1" x14ac:dyDescent="0.15">
      <c r="A851" s="489"/>
      <c r="B851" s="490"/>
      <c r="C851" s="491"/>
      <c r="D851" s="492"/>
      <c r="E851" s="491"/>
      <c r="F851" s="493"/>
      <c r="G851" s="491"/>
      <c r="H851" s="491"/>
      <c r="I851" s="494"/>
      <c r="J851" s="495"/>
    </row>
    <row r="852" spans="1:10" s="251" customFormat="1" ht="12" customHeight="1" x14ac:dyDescent="0.15">
      <c r="A852" s="489"/>
      <c r="B852" s="490"/>
      <c r="C852" s="491"/>
      <c r="D852" s="492"/>
      <c r="E852" s="491"/>
      <c r="F852" s="493"/>
      <c r="G852" s="491"/>
      <c r="H852" s="491"/>
      <c r="I852" s="494"/>
      <c r="J852" s="495"/>
    </row>
    <row r="853" spans="1:10" s="251" customFormat="1" ht="12" customHeight="1" x14ac:dyDescent="0.15">
      <c r="A853" s="489"/>
      <c r="B853" s="490"/>
      <c r="C853" s="491"/>
      <c r="D853" s="492"/>
      <c r="E853" s="491"/>
      <c r="F853" s="493"/>
      <c r="G853" s="491"/>
      <c r="H853" s="491"/>
      <c r="I853" s="494"/>
      <c r="J853" s="495"/>
    </row>
    <row r="854" spans="1:10" s="251" customFormat="1" ht="12" customHeight="1" x14ac:dyDescent="0.15">
      <c r="A854" s="489"/>
      <c r="B854" s="490"/>
      <c r="C854" s="491"/>
      <c r="D854" s="492"/>
      <c r="E854" s="491"/>
      <c r="F854" s="493"/>
      <c r="G854" s="491"/>
      <c r="H854" s="491"/>
      <c r="I854" s="494"/>
      <c r="J854" s="495"/>
    </row>
    <row r="855" spans="1:10" s="251" customFormat="1" ht="12" customHeight="1" x14ac:dyDescent="0.15">
      <c r="A855" s="489"/>
      <c r="B855" s="490"/>
      <c r="C855" s="491"/>
      <c r="D855" s="492"/>
      <c r="E855" s="491"/>
      <c r="F855" s="493"/>
      <c r="G855" s="491"/>
      <c r="H855" s="491"/>
      <c r="I855" s="494"/>
      <c r="J855" s="495"/>
    </row>
    <row r="856" spans="1:10" s="251" customFormat="1" ht="12" customHeight="1" x14ac:dyDescent="0.15">
      <c r="A856" s="489"/>
      <c r="B856" s="490"/>
      <c r="C856" s="491"/>
      <c r="D856" s="492"/>
      <c r="E856" s="491"/>
      <c r="F856" s="493"/>
      <c r="G856" s="491"/>
      <c r="H856" s="491"/>
      <c r="I856" s="494"/>
      <c r="J856" s="495"/>
    </row>
    <row r="857" spans="1:10" s="251" customFormat="1" ht="12" customHeight="1" x14ac:dyDescent="0.15">
      <c r="A857" s="489"/>
      <c r="B857" s="490"/>
      <c r="C857" s="491"/>
      <c r="D857" s="492"/>
      <c r="E857" s="491"/>
      <c r="F857" s="493"/>
      <c r="G857" s="491"/>
      <c r="H857" s="491"/>
      <c r="I857" s="494"/>
      <c r="J857" s="495"/>
    </row>
    <row r="858" spans="1:10" s="251" customFormat="1" ht="12" customHeight="1" x14ac:dyDescent="0.15">
      <c r="A858" s="489"/>
      <c r="B858" s="490"/>
      <c r="C858" s="491"/>
      <c r="D858" s="492"/>
      <c r="E858" s="491"/>
      <c r="F858" s="493"/>
      <c r="G858" s="491"/>
      <c r="H858" s="491"/>
      <c r="I858" s="494"/>
      <c r="J858" s="495"/>
    </row>
    <row r="859" spans="1:10" s="251" customFormat="1" ht="12" customHeight="1" x14ac:dyDescent="0.15">
      <c r="A859" s="489"/>
      <c r="B859" s="490"/>
      <c r="C859" s="491"/>
      <c r="D859" s="492"/>
      <c r="E859" s="491"/>
      <c r="F859" s="493"/>
      <c r="G859" s="491"/>
      <c r="H859" s="491"/>
      <c r="I859" s="494"/>
      <c r="J859" s="495"/>
    </row>
    <row r="860" spans="1:10" s="251" customFormat="1" ht="12" customHeight="1" x14ac:dyDescent="0.15">
      <c r="A860" s="489"/>
      <c r="B860" s="490"/>
      <c r="C860" s="491"/>
      <c r="D860" s="492"/>
      <c r="E860" s="491"/>
      <c r="F860" s="493"/>
      <c r="G860" s="491"/>
      <c r="H860" s="491"/>
      <c r="I860" s="494"/>
      <c r="J860" s="495"/>
    </row>
    <row r="861" spans="1:10" s="251" customFormat="1" ht="12" customHeight="1" x14ac:dyDescent="0.15">
      <c r="A861" s="489"/>
      <c r="B861" s="490"/>
      <c r="C861" s="491"/>
      <c r="D861" s="492"/>
      <c r="E861" s="491"/>
      <c r="F861" s="493"/>
      <c r="G861" s="491"/>
      <c r="H861" s="491"/>
      <c r="I861" s="494"/>
      <c r="J861" s="495"/>
    </row>
    <row r="862" spans="1:10" s="251" customFormat="1" ht="12" customHeight="1" x14ac:dyDescent="0.15">
      <c r="A862" s="489"/>
      <c r="B862" s="490"/>
      <c r="C862" s="491"/>
      <c r="D862" s="492"/>
      <c r="E862" s="491"/>
      <c r="F862" s="493"/>
      <c r="G862" s="491"/>
      <c r="H862" s="491"/>
      <c r="I862" s="494"/>
      <c r="J862" s="495"/>
    </row>
    <row r="863" spans="1:10" s="251" customFormat="1" ht="12" customHeight="1" x14ac:dyDescent="0.15">
      <c r="A863" s="489"/>
      <c r="B863" s="490"/>
      <c r="C863" s="491"/>
      <c r="D863" s="492"/>
      <c r="E863" s="491"/>
      <c r="F863" s="493"/>
      <c r="G863" s="491"/>
      <c r="H863" s="491"/>
      <c r="I863" s="494"/>
      <c r="J863" s="495"/>
    </row>
    <row r="864" spans="1:10" s="251" customFormat="1" ht="12" customHeight="1" x14ac:dyDescent="0.15">
      <c r="A864" s="489"/>
      <c r="B864" s="490"/>
      <c r="C864" s="491"/>
      <c r="D864" s="492"/>
      <c r="E864" s="491"/>
      <c r="F864" s="493"/>
      <c r="G864" s="491"/>
      <c r="H864" s="491"/>
      <c r="I864" s="494"/>
      <c r="J864" s="495"/>
    </row>
    <row r="865" spans="1:10" s="251" customFormat="1" ht="12" customHeight="1" x14ac:dyDescent="0.15">
      <c r="A865" s="489"/>
      <c r="B865" s="490"/>
      <c r="C865" s="491"/>
      <c r="D865" s="492"/>
      <c r="E865" s="491"/>
      <c r="F865" s="493"/>
      <c r="G865" s="491"/>
      <c r="H865" s="491"/>
      <c r="I865" s="494"/>
      <c r="J865" s="495"/>
    </row>
    <row r="866" spans="1:10" s="251" customFormat="1" ht="12" customHeight="1" x14ac:dyDescent="0.15">
      <c r="A866" s="489"/>
      <c r="B866" s="490"/>
      <c r="C866" s="491"/>
      <c r="D866" s="492"/>
      <c r="E866" s="491"/>
      <c r="F866" s="493"/>
      <c r="G866" s="491"/>
      <c r="H866" s="491"/>
      <c r="I866" s="494"/>
      <c r="J866" s="495"/>
    </row>
    <row r="867" spans="1:10" s="251" customFormat="1" ht="12" customHeight="1" x14ac:dyDescent="0.15">
      <c r="A867" s="489"/>
      <c r="B867" s="490"/>
      <c r="C867" s="491"/>
      <c r="D867" s="492"/>
      <c r="E867" s="491"/>
      <c r="F867" s="493"/>
      <c r="G867" s="491"/>
      <c r="H867" s="491"/>
      <c r="I867" s="494"/>
      <c r="J867" s="495"/>
    </row>
    <row r="868" spans="1:10" s="251" customFormat="1" ht="12" customHeight="1" x14ac:dyDescent="0.15">
      <c r="A868" s="489"/>
      <c r="B868" s="490"/>
      <c r="C868" s="491"/>
      <c r="D868" s="492"/>
      <c r="E868" s="491"/>
      <c r="F868" s="493"/>
      <c r="G868" s="491"/>
      <c r="H868" s="491"/>
      <c r="I868" s="494"/>
      <c r="J868" s="495"/>
    </row>
    <row r="869" spans="1:10" s="251" customFormat="1" ht="12" customHeight="1" x14ac:dyDescent="0.15">
      <c r="A869" s="489"/>
      <c r="B869" s="490"/>
      <c r="C869" s="491"/>
      <c r="D869" s="492"/>
      <c r="E869" s="491"/>
      <c r="F869" s="493"/>
      <c r="G869" s="491"/>
      <c r="H869" s="491"/>
      <c r="I869" s="494"/>
      <c r="J869" s="495"/>
    </row>
    <row r="870" spans="1:10" s="251" customFormat="1" ht="12" customHeight="1" x14ac:dyDescent="0.15">
      <c r="A870" s="489"/>
      <c r="B870" s="490"/>
      <c r="C870" s="491"/>
      <c r="D870" s="492"/>
      <c r="E870" s="491"/>
      <c r="F870" s="493"/>
      <c r="G870" s="491"/>
      <c r="H870" s="491"/>
      <c r="I870" s="494"/>
      <c r="J870" s="495"/>
    </row>
    <row r="871" spans="1:10" s="251" customFormat="1" ht="12" customHeight="1" x14ac:dyDescent="0.15">
      <c r="A871" s="489"/>
      <c r="B871" s="490"/>
      <c r="C871" s="491"/>
      <c r="D871" s="492"/>
      <c r="E871" s="491"/>
      <c r="F871" s="493"/>
      <c r="G871" s="491"/>
      <c r="H871" s="491"/>
      <c r="I871" s="494"/>
      <c r="J871" s="495"/>
    </row>
    <row r="872" spans="1:10" s="251" customFormat="1" ht="12" customHeight="1" x14ac:dyDescent="0.15">
      <c r="A872" s="489"/>
      <c r="B872" s="490"/>
      <c r="C872" s="491"/>
      <c r="D872" s="492"/>
      <c r="E872" s="491"/>
      <c r="F872" s="493"/>
      <c r="G872" s="491"/>
      <c r="H872" s="491"/>
      <c r="I872" s="494"/>
      <c r="J872" s="495"/>
    </row>
    <row r="873" spans="1:10" s="251" customFormat="1" ht="12" customHeight="1" x14ac:dyDescent="0.15">
      <c r="A873" s="489"/>
      <c r="B873" s="490"/>
      <c r="C873" s="491"/>
      <c r="D873" s="492"/>
      <c r="E873" s="491"/>
      <c r="F873" s="493"/>
      <c r="G873" s="491"/>
      <c r="H873" s="491"/>
      <c r="I873" s="494"/>
      <c r="J873" s="495"/>
    </row>
    <row r="874" spans="1:10" s="251" customFormat="1" ht="12" customHeight="1" x14ac:dyDescent="0.15">
      <c r="A874" s="489"/>
      <c r="B874" s="490"/>
      <c r="C874" s="491"/>
      <c r="D874" s="492"/>
      <c r="E874" s="491"/>
      <c r="F874" s="493"/>
      <c r="G874" s="491"/>
      <c r="H874" s="491"/>
      <c r="I874" s="494"/>
      <c r="J874" s="495"/>
    </row>
    <row r="875" spans="1:10" s="251" customFormat="1" ht="12" customHeight="1" x14ac:dyDescent="0.15">
      <c r="A875" s="489"/>
      <c r="B875" s="490"/>
      <c r="C875" s="491"/>
      <c r="D875" s="492"/>
      <c r="E875" s="491"/>
      <c r="F875" s="493"/>
      <c r="G875" s="491"/>
      <c r="H875" s="491"/>
      <c r="I875" s="494"/>
      <c r="J875" s="495"/>
    </row>
    <row r="876" spans="1:10" s="251" customFormat="1" ht="12" customHeight="1" x14ac:dyDescent="0.15">
      <c r="A876" s="489"/>
      <c r="B876" s="490"/>
      <c r="C876" s="491"/>
      <c r="D876" s="492"/>
      <c r="E876" s="491"/>
      <c r="F876" s="493"/>
      <c r="G876" s="491"/>
      <c r="H876" s="491"/>
      <c r="I876" s="494"/>
      <c r="J876" s="495"/>
    </row>
    <row r="877" spans="1:10" s="251" customFormat="1" ht="12" customHeight="1" x14ac:dyDescent="0.15">
      <c r="A877" s="489"/>
      <c r="B877" s="490"/>
      <c r="C877" s="491"/>
      <c r="D877" s="492"/>
      <c r="E877" s="491"/>
      <c r="F877" s="493"/>
      <c r="G877" s="491"/>
      <c r="H877" s="491"/>
      <c r="I877" s="494"/>
      <c r="J877" s="495"/>
    </row>
    <row r="878" spans="1:10" s="251" customFormat="1" ht="12" customHeight="1" x14ac:dyDescent="0.15">
      <c r="A878" s="489"/>
      <c r="B878" s="490"/>
      <c r="C878" s="491"/>
      <c r="D878" s="492"/>
      <c r="E878" s="491"/>
      <c r="F878" s="493"/>
      <c r="G878" s="491"/>
      <c r="H878" s="491"/>
      <c r="I878" s="494"/>
      <c r="J878" s="495"/>
    </row>
    <row r="879" spans="1:10" s="251" customFormat="1" ht="12" customHeight="1" x14ac:dyDescent="0.15">
      <c r="A879" s="489"/>
      <c r="B879" s="490"/>
      <c r="C879" s="491"/>
      <c r="D879" s="492"/>
      <c r="E879" s="491"/>
      <c r="F879" s="493"/>
      <c r="G879" s="491"/>
      <c r="H879" s="491"/>
      <c r="I879" s="494"/>
      <c r="J879" s="495"/>
    </row>
    <row r="880" spans="1:10" s="251" customFormat="1" ht="12" customHeight="1" x14ac:dyDescent="0.15">
      <c r="A880" s="489"/>
      <c r="B880" s="490"/>
      <c r="C880" s="491"/>
      <c r="D880" s="492"/>
      <c r="E880" s="491"/>
      <c r="F880" s="493"/>
      <c r="G880" s="491"/>
      <c r="H880" s="491"/>
      <c r="I880" s="494"/>
      <c r="J880" s="495"/>
    </row>
    <row r="881" spans="1:10" s="251" customFormat="1" ht="12" customHeight="1" x14ac:dyDescent="0.15">
      <c r="A881" s="489"/>
      <c r="B881" s="490"/>
      <c r="C881" s="491"/>
      <c r="D881" s="492"/>
      <c r="E881" s="491"/>
      <c r="F881" s="493"/>
      <c r="G881" s="491"/>
      <c r="H881" s="491"/>
      <c r="I881" s="494"/>
      <c r="J881" s="495"/>
    </row>
    <row r="882" spans="1:10" s="251" customFormat="1" ht="12" customHeight="1" x14ac:dyDescent="0.15">
      <c r="A882" s="489"/>
      <c r="B882" s="490"/>
      <c r="C882" s="491"/>
      <c r="D882" s="492"/>
      <c r="E882" s="491"/>
      <c r="F882" s="493"/>
      <c r="G882" s="491"/>
      <c r="H882" s="491"/>
      <c r="I882" s="494"/>
      <c r="J882" s="495"/>
    </row>
    <row r="883" spans="1:10" s="251" customFormat="1" ht="12" customHeight="1" x14ac:dyDescent="0.15">
      <c r="A883" s="489"/>
      <c r="B883" s="490"/>
      <c r="C883" s="491"/>
      <c r="D883" s="492"/>
      <c r="E883" s="491"/>
      <c r="F883" s="493"/>
      <c r="G883" s="491"/>
      <c r="H883" s="491"/>
      <c r="I883" s="494"/>
      <c r="J883" s="495"/>
    </row>
    <row r="884" spans="1:10" s="251" customFormat="1" ht="12" customHeight="1" x14ac:dyDescent="0.15">
      <c r="A884" s="489"/>
      <c r="B884" s="490"/>
      <c r="C884" s="491"/>
      <c r="D884" s="492"/>
      <c r="E884" s="491"/>
      <c r="F884" s="493"/>
      <c r="G884" s="491"/>
      <c r="H884" s="491"/>
      <c r="I884" s="494"/>
      <c r="J884" s="495"/>
    </row>
    <row r="885" spans="1:10" s="251" customFormat="1" ht="12" customHeight="1" x14ac:dyDescent="0.15">
      <c r="A885" s="489"/>
      <c r="B885" s="490"/>
      <c r="C885" s="491"/>
      <c r="D885" s="492"/>
      <c r="E885" s="491"/>
      <c r="F885" s="493"/>
      <c r="G885" s="491"/>
      <c r="H885" s="491"/>
      <c r="I885" s="494"/>
      <c r="J885" s="495"/>
    </row>
    <row r="886" spans="1:10" s="251" customFormat="1" ht="12" customHeight="1" x14ac:dyDescent="0.15">
      <c r="A886" s="489"/>
      <c r="B886" s="490"/>
      <c r="C886" s="491"/>
      <c r="D886" s="492"/>
      <c r="E886" s="491"/>
      <c r="F886" s="493"/>
      <c r="G886" s="491"/>
      <c r="H886" s="491"/>
      <c r="I886" s="494"/>
      <c r="J886" s="495"/>
    </row>
    <row r="887" spans="1:10" s="251" customFormat="1" ht="12" customHeight="1" x14ac:dyDescent="0.15">
      <c r="A887" s="489"/>
      <c r="B887" s="490"/>
      <c r="C887" s="491"/>
      <c r="D887" s="492"/>
      <c r="E887" s="491"/>
      <c r="F887" s="493"/>
      <c r="G887" s="491"/>
      <c r="H887" s="491"/>
      <c r="I887" s="494"/>
      <c r="J887" s="495"/>
    </row>
    <row r="888" spans="1:10" s="251" customFormat="1" ht="12" customHeight="1" x14ac:dyDescent="0.15">
      <c r="A888" s="489"/>
      <c r="B888" s="490"/>
      <c r="C888" s="491"/>
      <c r="D888" s="492"/>
      <c r="E888" s="491"/>
      <c r="F888" s="493"/>
      <c r="G888" s="491"/>
      <c r="H888" s="491"/>
      <c r="I888" s="494"/>
      <c r="J888" s="495"/>
    </row>
    <row r="889" spans="1:10" s="251" customFormat="1" ht="12" customHeight="1" x14ac:dyDescent="0.15">
      <c r="A889" s="489"/>
      <c r="B889" s="490"/>
      <c r="C889" s="491"/>
      <c r="D889" s="492"/>
      <c r="E889" s="491"/>
      <c r="F889" s="493"/>
      <c r="G889" s="491"/>
      <c r="H889" s="491"/>
      <c r="I889" s="494"/>
      <c r="J889" s="495"/>
    </row>
    <row r="890" spans="1:10" s="251" customFormat="1" ht="12" customHeight="1" x14ac:dyDescent="0.15">
      <c r="A890" s="489"/>
      <c r="B890" s="490"/>
      <c r="C890" s="491"/>
      <c r="D890" s="492"/>
      <c r="E890" s="491"/>
      <c r="F890" s="493"/>
      <c r="G890" s="491"/>
      <c r="H890" s="491"/>
      <c r="I890" s="494"/>
      <c r="J890" s="495"/>
    </row>
    <row r="891" spans="1:10" s="251" customFormat="1" ht="12" customHeight="1" x14ac:dyDescent="0.15">
      <c r="A891" s="489"/>
      <c r="B891" s="490"/>
      <c r="C891" s="491"/>
      <c r="D891" s="492"/>
      <c r="E891" s="491"/>
      <c r="F891" s="493"/>
      <c r="G891" s="491"/>
      <c r="H891" s="491"/>
      <c r="I891" s="494"/>
      <c r="J891" s="495"/>
    </row>
    <row r="892" spans="1:10" s="251" customFormat="1" ht="12" customHeight="1" x14ac:dyDescent="0.15">
      <c r="A892" s="489"/>
      <c r="B892" s="490"/>
      <c r="C892" s="491"/>
      <c r="D892" s="492"/>
      <c r="E892" s="491"/>
      <c r="F892" s="493"/>
      <c r="G892" s="491"/>
      <c r="H892" s="491"/>
      <c r="I892" s="494"/>
      <c r="J892" s="495"/>
    </row>
    <row r="893" spans="1:10" s="251" customFormat="1" ht="12" customHeight="1" x14ac:dyDescent="0.15">
      <c r="A893" s="489"/>
      <c r="B893" s="490"/>
      <c r="C893" s="491"/>
      <c r="D893" s="492"/>
      <c r="E893" s="491"/>
      <c r="F893" s="493"/>
      <c r="G893" s="491"/>
      <c r="H893" s="491"/>
      <c r="I893" s="494"/>
      <c r="J893" s="495"/>
    </row>
    <row r="894" spans="1:10" s="251" customFormat="1" ht="12" customHeight="1" x14ac:dyDescent="0.15">
      <c r="A894" s="489"/>
      <c r="B894" s="490"/>
      <c r="C894" s="491"/>
      <c r="D894" s="492"/>
      <c r="E894" s="491"/>
      <c r="F894" s="493"/>
      <c r="G894" s="491"/>
      <c r="H894" s="491"/>
      <c r="I894" s="494"/>
      <c r="J894" s="495"/>
    </row>
    <row r="895" spans="1:10" s="251" customFormat="1" ht="12" customHeight="1" x14ac:dyDescent="0.15">
      <c r="A895" s="489"/>
      <c r="B895" s="490"/>
      <c r="C895" s="491"/>
      <c r="D895" s="492"/>
      <c r="E895" s="491"/>
      <c r="F895" s="493"/>
      <c r="G895" s="491"/>
      <c r="H895" s="491"/>
      <c r="I895" s="494"/>
      <c r="J895" s="495"/>
    </row>
    <row r="896" spans="1:10" s="251" customFormat="1" ht="12" customHeight="1" x14ac:dyDescent="0.15">
      <c r="A896" s="489"/>
      <c r="B896" s="490"/>
      <c r="C896" s="491"/>
      <c r="D896" s="492"/>
      <c r="E896" s="491"/>
      <c r="F896" s="493"/>
      <c r="G896" s="491"/>
      <c r="H896" s="491"/>
      <c r="I896" s="494"/>
      <c r="J896" s="495"/>
    </row>
    <row r="897" spans="1:10" s="251" customFormat="1" ht="12" customHeight="1" x14ac:dyDescent="0.15">
      <c r="A897" s="489"/>
      <c r="B897" s="490"/>
      <c r="C897" s="491"/>
      <c r="D897" s="492"/>
      <c r="E897" s="491"/>
      <c r="F897" s="493"/>
      <c r="G897" s="491"/>
      <c r="H897" s="491"/>
      <c r="I897" s="494"/>
      <c r="J897" s="495"/>
    </row>
    <row r="898" spans="1:10" s="251" customFormat="1" ht="12" customHeight="1" x14ac:dyDescent="0.15">
      <c r="A898" s="489"/>
      <c r="B898" s="490"/>
      <c r="C898" s="491"/>
      <c r="D898" s="492"/>
      <c r="E898" s="491"/>
      <c r="F898" s="493"/>
      <c r="G898" s="491"/>
      <c r="H898" s="491"/>
      <c r="I898" s="494"/>
      <c r="J898" s="495"/>
    </row>
    <row r="899" spans="1:10" s="251" customFormat="1" ht="12" customHeight="1" x14ac:dyDescent="0.15">
      <c r="A899" s="489"/>
      <c r="B899" s="490"/>
      <c r="C899" s="491"/>
      <c r="D899" s="492"/>
      <c r="E899" s="491"/>
      <c r="F899" s="493"/>
      <c r="G899" s="491"/>
      <c r="H899" s="491"/>
      <c r="I899" s="494"/>
      <c r="J899" s="495"/>
    </row>
    <row r="900" spans="1:10" s="251" customFormat="1" ht="12" customHeight="1" x14ac:dyDescent="0.15">
      <c r="A900" s="489"/>
      <c r="B900" s="490"/>
      <c r="C900" s="491"/>
      <c r="D900" s="492"/>
      <c r="E900" s="491"/>
      <c r="F900" s="493"/>
      <c r="G900" s="491"/>
      <c r="H900" s="491"/>
      <c r="I900" s="494"/>
      <c r="J900" s="495"/>
    </row>
    <row r="901" spans="1:10" s="251" customFormat="1" ht="12" customHeight="1" x14ac:dyDescent="0.15">
      <c r="A901" s="489"/>
      <c r="B901" s="490"/>
      <c r="C901" s="491"/>
      <c r="D901" s="492"/>
      <c r="E901" s="491"/>
      <c r="F901" s="493"/>
      <c r="G901" s="491"/>
      <c r="H901" s="491"/>
      <c r="I901" s="494"/>
      <c r="J901" s="495"/>
    </row>
    <row r="902" spans="1:10" s="251" customFormat="1" ht="12" customHeight="1" x14ac:dyDescent="0.15">
      <c r="A902" s="489"/>
      <c r="B902" s="490"/>
      <c r="C902" s="491"/>
      <c r="D902" s="492"/>
      <c r="E902" s="491"/>
      <c r="F902" s="493"/>
      <c r="G902" s="491"/>
      <c r="H902" s="491"/>
      <c r="I902" s="494"/>
      <c r="J902" s="495"/>
    </row>
    <row r="903" spans="1:10" s="251" customFormat="1" ht="12" customHeight="1" x14ac:dyDescent="0.15">
      <c r="A903" s="489"/>
      <c r="B903" s="490"/>
      <c r="C903" s="491"/>
      <c r="D903" s="492"/>
      <c r="E903" s="491"/>
      <c r="F903" s="493"/>
      <c r="G903" s="491"/>
      <c r="H903" s="491"/>
      <c r="I903" s="494"/>
      <c r="J903" s="495"/>
    </row>
    <row r="904" spans="1:10" s="251" customFormat="1" ht="12" customHeight="1" x14ac:dyDescent="0.15">
      <c r="A904" s="489"/>
      <c r="B904" s="490"/>
      <c r="C904" s="491"/>
      <c r="D904" s="492"/>
      <c r="E904" s="491"/>
      <c r="F904" s="493"/>
      <c r="G904" s="491"/>
      <c r="H904" s="491"/>
      <c r="I904" s="494"/>
      <c r="J904" s="495"/>
    </row>
    <row r="905" spans="1:10" s="251" customFormat="1" ht="12" customHeight="1" x14ac:dyDescent="0.15">
      <c r="A905" s="489"/>
      <c r="B905" s="490"/>
      <c r="C905" s="491"/>
      <c r="D905" s="492"/>
      <c r="E905" s="491"/>
      <c r="F905" s="493"/>
      <c r="G905" s="491"/>
      <c r="H905" s="491"/>
      <c r="I905" s="494"/>
      <c r="J905" s="495"/>
    </row>
    <row r="906" spans="1:10" s="251" customFormat="1" ht="12" customHeight="1" x14ac:dyDescent="0.15">
      <c r="A906" s="489"/>
      <c r="B906" s="490"/>
      <c r="C906" s="491"/>
      <c r="D906" s="492"/>
      <c r="E906" s="491"/>
      <c r="F906" s="493"/>
      <c r="G906" s="491"/>
      <c r="H906" s="491"/>
      <c r="I906" s="494"/>
      <c r="J906" s="495"/>
    </row>
    <row r="907" spans="1:10" s="251" customFormat="1" ht="12" customHeight="1" x14ac:dyDescent="0.15">
      <c r="A907" s="489"/>
      <c r="B907" s="490"/>
      <c r="C907" s="491"/>
      <c r="D907" s="492"/>
      <c r="E907" s="491"/>
      <c r="F907" s="493"/>
      <c r="G907" s="491"/>
      <c r="H907" s="491"/>
      <c r="I907" s="494"/>
      <c r="J907" s="495"/>
    </row>
    <row r="908" spans="1:10" s="251" customFormat="1" ht="12" customHeight="1" x14ac:dyDescent="0.15">
      <c r="A908" s="489"/>
      <c r="B908" s="490"/>
      <c r="C908" s="491"/>
      <c r="D908" s="492"/>
      <c r="E908" s="491"/>
      <c r="F908" s="493"/>
      <c r="G908" s="491"/>
      <c r="H908" s="491"/>
      <c r="I908" s="494"/>
      <c r="J908" s="495"/>
    </row>
    <row r="909" spans="1:10" s="251" customFormat="1" ht="12" customHeight="1" x14ac:dyDescent="0.15">
      <c r="A909" s="489"/>
      <c r="B909" s="490"/>
      <c r="C909" s="491"/>
      <c r="D909" s="492"/>
      <c r="E909" s="491"/>
      <c r="F909" s="493"/>
      <c r="G909" s="491"/>
      <c r="H909" s="491"/>
      <c r="I909" s="494"/>
      <c r="J909" s="495"/>
    </row>
    <row r="910" spans="1:10" s="251" customFormat="1" ht="12" customHeight="1" x14ac:dyDescent="0.15">
      <c r="A910" s="489"/>
      <c r="B910" s="490"/>
      <c r="C910" s="491"/>
      <c r="D910" s="492"/>
      <c r="E910" s="491"/>
      <c r="F910" s="493"/>
      <c r="G910" s="491"/>
      <c r="H910" s="491"/>
      <c r="I910" s="494"/>
      <c r="J910" s="495"/>
    </row>
    <row r="911" spans="1:10" s="251" customFormat="1" ht="12" customHeight="1" x14ac:dyDescent="0.15">
      <c r="A911" s="489"/>
      <c r="B911" s="490"/>
      <c r="C911" s="491"/>
      <c r="D911" s="492"/>
      <c r="E911" s="491"/>
      <c r="F911" s="493"/>
      <c r="G911" s="491"/>
      <c r="H911" s="491"/>
      <c r="I911" s="494"/>
      <c r="J911" s="495"/>
    </row>
    <row r="912" spans="1:10" s="251" customFormat="1" ht="12" customHeight="1" x14ac:dyDescent="0.15">
      <c r="A912" s="489"/>
      <c r="B912" s="490"/>
      <c r="C912" s="491"/>
      <c r="D912" s="492"/>
      <c r="E912" s="491"/>
      <c r="F912" s="493"/>
      <c r="G912" s="491"/>
      <c r="H912" s="491"/>
      <c r="I912" s="494"/>
      <c r="J912" s="495"/>
    </row>
    <row r="913" spans="1:10" s="251" customFormat="1" ht="12" customHeight="1" x14ac:dyDescent="0.15">
      <c r="A913" s="489"/>
      <c r="B913" s="490"/>
      <c r="C913" s="491"/>
      <c r="D913" s="492"/>
      <c r="E913" s="491"/>
      <c r="F913" s="493"/>
      <c r="G913" s="491"/>
      <c r="H913" s="491"/>
      <c r="I913" s="494"/>
      <c r="J913" s="495"/>
    </row>
    <row r="914" spans="1:10" s="251" customFormat="1" ht="12" customHeight="1" x14ac:dyDescent="0.15">
      <c r="A914" s="489"/>
      <c r="B914" s="490"/>
      <c r="C914" s="491"/>
      <c r="D914" s="492"/>
      <c r="E914" s="491"/>
      <c r="F914" s="493"/>
      <c r="G914" s="491"/>
      <c r="H914" s="491"/>
      <c r="I914" s="494"/>
      <c r="J914" s="495"/>
    </row>
    <row r="915" spans="1:10" s="251" customFormat="1" ht="12" customHeight="1" x14ac:dyDescent="0.15">
      <c r="A915" s="489"/>
      <c r="B915" s="490"/>
      <c r="C915" s="491"/>
      <c r="D915" s="492"/>
      <c r="E915" s="491"/>
      <c r="F915" s="493"/>
      <c r="G915" s="491"/>
      <c r="H915" s="491"/>
      <c r="I915" s="494"/>
      <c r="J915" s="495"/>
    </row>
    <row r="916" spans="1:10" s="251" customFormat="1" ht="12" customHeight="1" x14ac:dyDescent="0.15">
      <c r="A916" s="489"/>
      <c r="B916" s="490"/>
      <c r="C916" s="491"/>
      <c r="D916" s="492"/>
      <c r="E916" s="491"/>
      <c r="F916" s="493"/>
      <c r="G916" s="491"/>
      <c r="H916" s="491"/>
      <c r="I916" s="494"/>
      <c r="J916" s="495"/>
    </row>
    <row r="917" spans="1:10" s="251" customFormat="1" ht="12" customHeight="1" x14ac:dyDescent="0.15">
      <c r="A917" s="489"/>
      <c r="B917" s="490"/>
      <c r="C917" s="491"/>
      <c r="D917" s="492"/>
      <c r="E917" s="491"/>
      <c r="F917" s="493"/>
      <c r="G917" s="491"/>
      <c r="H917" s="491"/>
      <c r="I917" s="494"/>
      <c r="J917" s="495"/>
    </row>
    <row r="918" spans="1:10" s="251" customFormat="1" ht="12" customHeight="1" x14ac:dyDescent="0.15">
      <c r="A918" s="489"/>
      <c r="B918" s="490"/>
      <c r="C918" s="491"/>
      <c r="D918" s="492"/>
      <c r="E918" s="491"/>
      <c r="F918" s="493"/>
      <c r="G918" s="491"/>
      <c r="H918" s="491"/>
      <c r="I918" s="494"/>
      <c r="J918" s="495"/>
    </row>
    <row r="919" spans="1:10" s="251" customFormat="1" ht="12" customHeight="1" x14ac:dyDescent="0.15">
      <c r="A919" s="489"/>
      <c r="B919" s="490"/>
      <c r="C919" s="491"/>
      <c r="D919" s="492"/>
      <c r="E919" s="491"/>
      <c r="F919" s="493"/>
      <c r="G919" s="491"/>
      <c r="H919" s="491"/>
      <c r="I919" s="494"/>
      <c r="J919" s="495"/>
    </row>
    <row r="920" spans="1:10" s="251" customFormat="1" ht="12" customHeight="1" x14ac:dyDescent="0.15">
      <c r="A920" s="489"/>
      <c r="B920" s="490"/>
      <c r="C920" s="491"/>
      <c r="D920" s="492"/>
      <c r="E920" s="491"/>
      <c r="F920" s="493"/>
      <c r="G920" s="491"/>
      <c r="H920" s="491"/>
      <c r="I920" s="494"/>
      <c r="J920" s="495"/>
    </row>
  </sheetData>
  <sortState ref="A790:J797">
    <sortCondition ref="B790:B797"/>
  </sortState>
  <mergeCells count="1">
    <mergeCell ref="J624:J625"/>
  </mergeCells>
  <phoneticPr fontId="4" type="noConversion"/>
  <pageMargins left="0.75" right="0.75" top="1" bottom="1" header="0.5" footer="0.5"/>
  <pageSetup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53"/>
  <sheetViews>
    <sheetView workbookViewId="0">
      <pane ySplit="3" topLeftCell="A44" activePane="bottomLeft" state="frozen"/>
      <selection pane="bottomLeft" activeCell="Q75" sqref="Q75"/>
    </sheetView>
  </sheetViews>
  <sheetFormatPr baseColWidth="10" defaultColWidth="9.1640625" defaultRowHeight="12" x14ac:dyDescent="0.15"/>
  <cols>
    <col min="1" max="1" width="18.83203125" style="6" customWidth="1"/>
    <col min="2" max="2" width="12.83203125" style="6" customWidth="1"/>
    <col min="3" max="3" width="19.5" style="6" customWidth="1"/>
    <col min="4" max="5" width="17.1640625" style="6" customWidth="1"/>
    <col min="6" max="6" width="10.33203125" style="101" customWidth="1"/>
    <col min="7" max="7" width="11.1640625" style="102" customWidth="1"/>
    <col min="8" max="8" width="5.83203125" style="75" customWidth="1"/>
    <col min="9" max="9" width="4.5" style="75" customWidth="1"/>
    <col min="10" max="10" width="5" style="75" customWidth="1"/>
    <col min="11" max="11" width="4.83203125" style="75" customWidth="1"/>
    <col min="12" max="12" width="12.83203125" style="136" customWidth="1"/>
    <col min="13" max="13" width="9.83203125" style="136" customWidth="1"/>
    <col min="14" max="15" width="5.6640625" style="136" customWidth="1"/>
    <col min="16" max="16" width="14.33203125" style="7" customWidth="1"/>
    <col min="17" max="17" width="12.6640625" style="7" customWidth="1"/>
    <col min="18" max="18" width="9.1640625" style="6"/>
    <col min="19" max="19" width="2.6640625" style="13" customWidth="1"/>
    <col min="20" max="20" width="9.1640625" style="13"/>
    <col min="21" max="21" width="11.5" style="13" customWidth="1"/>
    <col min="22" max="22" width="3" style="13" customWidth="1"/>
    <col min="23" max="23" width="2.6640625" style="13" customWidth="1"/>
    <col min="24" max="25" width="9.1640625" style="13"/>
    <col min="26" max="26" width="5.5" style="13" customWidth="1"/>
    <col min="27" max="27" width="2.83203125" style="13" customWidth="1"/>
    <col min="28" max="52" width="9.1640625" style="13"/>
    <col min="53" max="53" width="9.1640625" style="14"/>
    <col min="54" max="55" width="9.1640625" style="13"/>
    <col min="56" max="56" width="11" style="14" customWidth="1"/>
    <col min="57" max="16384" width="9.1640625" style="13"/>
  </cols>
  <sheetData>
    <row r="1" spans="1:58" ht="12" customHeight="1" x14ac:dyDescent="0.15">
      <c r="A1" s="6" t="s">
        <v>2350</v>
      </c>
      <c r="B1" s="188"/>
    </row>
    <row r="2" spans="1:58" ht="12" customHeight="1" x14ac:dyDescent="0.15">
      <c r="A2" s="72" t="s">
        <v>1090</v>
      </c>
      <c r="F2" s="73"/>
      <c r="G2" s="176" t="s">
        <v>436</v>
      </c>
      <c r="K2" s="76"/>
      <c r="L2" s="189" t="s">
        <v>624</v>
      </c>
      <c r="M2" s="189"/>
      <c r="N2" s="189"/>
      <c r="O2" s="189"/>
      <c r="T2" s="38"/>
      <c r="AB2" s="77"/>
    </row>
    <row r="3" spans="1:58" s="84" customFormat="1" ht="44" customHeight="1" thickBot="1" x14ac:dyDescent="0.2">
      <c r="A3" s="78" t="s">
        <v>74</v>
      </c>
      <c r="B3" s="78" t="s">
        <v>710</v>
      </c>
      <c r="C3" s="78" t="s">
        <v>844</v>
      </c>
      <c r="D3" s="78" t="s">
        <v>670</v>
      </c>
      <c r="E3" s="78" t="s">
        <v>310</v>
      </c>
      <c r="F3" s="79" t="s">
        <v>845</v>
      </c>
      <c r="G3" s="80" t="s">
        <v>635</v>
      </c>
      <c r="H3" s="81" t="s">
        <v>392</v>
      </c>
      <c r="I3" s="81" t="s">
        <v>393</v>
      </c>
      <c r="J3" s="81" t="s">
        <v>394</v>
      </c>
      <c r="K3" s="81" t="s">
        <v>395</v>
      </c>
      <c r="L3" s="190" t="s">
        <v>647</v>
      </c>
      <c r="M3" s="190" t="s">
        <v>1977</v>
      </c>
      <c r="N3" s="190" t="s">
        <v>2301</v>
      </c>
      <c r="O3" s="190" t="s">
        <v>2302</v>
      </c>
      <c r="P3" s="81" t="s">
        <v>224</v>
      </c>
      <c r="Q3" s="81" t="s">
        <v>1263</v>
      </c>
      <c r="R3" s="78" t="s">
        <v>669</v>
      </c>
      <c r="S3" s="162"/>
      <c r="T3" s="162"/>
      <c r="BA3" s="163" t="s">
        <v>1590</v>
      </c>
      <c r="BC3" s="84" t="s">
        <v>1834</v>
      </c>
      <c r="BD3" s="163"/>
    </row>
    <row r="4" spans="1:58" ht="12" customHeight="1" thickTop="1" x14ac:dyDescent="0.15">
      <c r="BD4" s="141"/>
    </row>
    <row r="5" spans="1:58" s="112" customFormat="1" ht="12" customHeight="1" x14ac:dyDescent="0.15">
      <c r="A5" s="110" t="s">
        <v>1850</v>
      </c>
      <c r="B5" s="110"/>
      <c r="C5" s="110"/>
      <c r="D5" s="110"/>
      <c r="E5" s="110"/>
      <c r="F5" s="107"/>
      <c r="G5" s="108"/>
      <c r="H5" s="134"/>
      <c r="I5" s="134"/>
      <c r="J5" s="134"/>
      <c r="K5" s="134"/>
      <c r="L5" s="168"/>
      <c r="M5" s="168"/>
      <c r="N5" s="168"/>
      <c r="O5" s="168"/>
      <c r="P5" s="159"/>
      <c r="Q5" s="159"/>
      <c r="R5" s="110"/>
      <c r="BA5" s="111" t="str">
        <f t="shared" ref="BA5:BA26" si="0">IF(I5="","",IF(I5&gt;0,1,0))</f>
        <v/>
      </c>
      <c r="BC5" s="112" t="str">
        <f t="shared" ref="BC5:BC26" si="1">IF(G5="","",IF(L5="unraced","",IF(G5&lt;L5,"XX","")))</f>
        <v/>
      </c>
      <c r="BD5" s="141" t="str">
        <f t="shared" ref="BD5:BD26" si="2">IF(BC5="","",L5-G5)</f>
        <v/>
      </c>
    </row>
    <row r="6" spans="1:58" s="140" customFormat="1" ht="12" customHeight="1" x14ac:dyDescent="0.15">
      <c r="A6" s="58" t="s">
        <v>697</v>
      </c>
      <c r="B6" s="58" t="s">
        <v>1511</v>
      </c>
      <c r="C6" s="58" t="s">
        <v>709</v>
      </c>
      <c r="D6" s="58" t="s">
        <v>674</v>
      </c>
      <c r="E6" s="58" t="s">
        <v>168</v>
      </c>
      <c r="F6" s="137">
        <v>38729</v>
      </c>
      <c r="G6" s="138">
        <v>650000</v>
      </c>
      <c r="H6" s="139">
        <v>12</v>
      </c>
      <c r="I6" s="139">
        <v>1</v>
      </c>
      <c r="J6" s="139">
        <v>1</v>
      </c>
      <c r="K6" s="139">
        <v>0</v>
      </c>
      <c r="L6" s="191">
        <f>8291+54+56+54+54</f>
        <v>8509</v>
      </c>
      <c r="M6" s="191">
        <f t="shared" ref="M6:M47" si="3">L6/H6</f>
        <v>709.08333333333337</v>
      </c>
      <c r="N6" s="330">
        <f t="shared" ref="N6:N47" si="4">I6/H6</f>
        <v>8.3333333333333329E-2</v>
      </c>
      <c r="O6" s="330">
        <f t="shared" ref="O6:O47" si="5">SUM(I6:K6)/H6</f>
        <v>0.16666666666666666</v>
      </c>
      <c r="P6" s="56" t="s">
        <v>1601</v>
      </c>
      <c r="Q6" s="56"/>
      <c r="R6" s="58" t="s">
        <v>2067</v>
      </c>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BA6" s="141">
        <f t="shared" si="0"/>
        <v>1</v>
      </c>
      <c r="BC6" s="140" t="str">
        <f t="shared" si="1"/>
        <v/>
      </c>
      <c r="BD6" s="141" t="str">
        <f t="shared" si="2"/>
        <v/>
      </c>
    </row>
    <row r="7" spans="1:58" s="140" customFormat="1" ht="12" customHeight="1" x14ac:dyDescent="0.15">
      <c r="A7" s="58" t="s">
        <v>842</v>
      </c>
      <c r="B7" s="58" t="s">
        <v>1513</v>
      </c>
      <c r="C7" s="58" t="s">
        <v>950</v>
      </c>
      <c r="D7" s="58" t="s">
        <v>477</v>
      </c>
      <c r="E7" s="58" t="s">
        <v>243</v>
      </c>
      <c r="F7" s="137">
        <v>38768</v>
      </c>
      <c r="G7" s="138">
        <v>50000</v>
      </c>
      <c r="H7" s="139">
        <v>48</v>
      </c>
      <c r="I7" s="139">
        <v>5</v>
      </c>
      <c r="J7" s="139">
        <v>9</v>
      </c>
      <c r="K7" s="139">
        <v>8</v>
      </c>
      <c r="L7" s="191">
        <f>3589+1059+231+385+1073+310+320+979+317+193+313+313+341+181</f>
        <v>9604</v>
      </c>
      <c r="M7" s="191">
        <f>L7/H7</f>
        <v>200.08333333333334</v>
      </c>
      <c r="N7" s="330">
        <f>I7/H7</f>
        <v>0.10416666666666667</v>
      </c>
      <c r="O7" s="330">
        <f>SUM(I7:K7)/H7</f>
        <v>0.45833333333333331</v>
      </c>
      <c r="P7" s="56" t="s">
        <v>1689</v>
      </c>
      <c r="Q7" s="56" t="s">
        <v>304</v>
      </c>
      <c r="R7" s="58" t="s">
        <v>3206</v>
      </c>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BA7" s="141">
        <f>IF(I7="","",IF(I7&gt;0,1,0))</f>
        <v>1</v>
      </c>
      <c r="BC7" s="140" t="str">
        <f>IF(G7="","",IF(L7="unraced","",IF(G7&lt;L7,"XX","")))</f>
        <v/>
      </c>
      <c r="BD7" s="141" t="str">
        <f>IF(BC7="","",L7-G7)</f>
        <v/>
      </c>
    </row>
    <row r="8" spans="1:58" s="140" customFormat="1" ht="12" customHeight="1" x14ac:dyDescent="0.15">
      <c r="A8" s="58" t="s">
        <v>833</v>
      </c>
      <c r="B8" s="58" t="s">
        <v>111</v>
      </c>
      <c r="C8" s="58" t="s">
        <v>809</v>
      </c>
      <c r="D8" s="58" t="s">
        <v>610</v>
      </c>
      <c r="E8" s="58" t="s">
        <v>236</v>
      </c>
      <c r="F8" s="137">
        <v>38751</v>
      </c>
      <c r="G8" s="138"/>
      <c r="H8" s="139">
        <v>10</v>
      </c>
      <c r="I8" s="139">
        <v>1</v>
      </c>
      <c r="J8" s="139">
        <v>3</v>
      </c>
      <c r="K8" s="139">
        <v>1</v>
      </c>
      <c r="L8" s="191">
        <f>11948+538</f>
        <v>12486</v>
      </c>
      <c r="M8" s="191">
        <f t="shared" si="3"/>
        <v>1248.5999999999999</v>
      </c>
      <c r="N8" s="330">
        <f t="shared" si="4"/>
        <v>0.1</v>
      </c>
      <c r="O8" s="330">
        <f t="shared" si="5"/>
        <v>0.5</v>
      </c>
      <c r="P8" s="56" t="s">
        <v>1601</v>
      </c>
      <c r="Q8" s="56"/>
      <c r="R8" s="58" t="s">
        <v>2026</v>
      </c>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BA8" s="141">
        <f t="shared" si="0"/>
        <v>1</v>
      </c>
      <c r="BC8" s="140" t="str">
        <f t="shared" si="1"/>
        <v/>
      </c>
      <c r="BD8" s="141" t="str">
        <f t="shared" si="2"/>
        <v/>
      </c>
    </row>
    <row r="9" spans="1:58" s="90" customFormat="1" ht="12" customHeight="1" x14ac:dyDescent="0.15">
      <c r="A9" s="58" t="s">
        <v>774</v>
      </c>
      <c r="B9" s="58" t="s">
        <v>112</v>
      </c>
      <c r="C9" s="58" t="s">
        <v>556</v>
      </c>
      <c r="D9" s="58" t="s">
        <v>1006</v>
      </c>
      <c r="E9" s="58" t="s">
        <v>236</v>
      </c>
      <c r="F9" s="137">
        <v>38786</v>
      </c>
      <c r="G9" s="138">
        <v>25000</v>
      </c>
      <c r="H9" s="139">
        <v>8</v>
      </c>
      <c r="I9" s="139">
        <v>2</v>
      </c>
      <c r="J9" s="139">
        <v>3</v>
      </c>
      <c r="K9" s="139">
        <v>1</v>
      </c>
      <c r="L9" s="191">
        <f>12830+1480+4895</f>
        <v>19205</v>
      </c>
      <c r="M9" s="191">
        <f t="shared" si="3"/>
        <v>2400.625</v>
      </c>
      <c r="N9" s="330">
        <f t="shared" si="4"/>
        <v>0.25</v>
      </c>
      <c r="O9" s="330">
        <f t="shared" si="5"/>
        <v>0.75</v>
      </c>
      <c r="P9" s="56" t="s">
        <v>1604</v>
      </c>
      <c r="Q9" s="56" t="s">
        <v>1561</v>
      </c>
      <c r="R9" s="58" t="s">
        <v>2220</v>
      </c>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140"/>
      <c r="AU9" s="140"/>
      <c r="AV9" s="140"/>
      <c r="AW9" s="140"/>
      <c r="AX9" s="140"/>
      <c r="AY9" s="140"/>
      <c r="AZ9" s="140"/>
      <c r="BA9" s="141">
        <f t="shared" si="0"/>
        <v>1</v>
      </c>
      <c r="BB9" s="140"/>
      <c r="BC9" s="140" t="str">
        <f t="shared" si="1"/>
        <v/>
      </c>
      <c r="BD9" s="141" t="str">
        <f t="shared" si="2"/>
        <v/>
      </c>
      <c r="BE9" s="140"/>
      <c r="BF9" s="140"/>
    </row>
    <row r="10" spans="1:58" s="140" customFormat="1" ht="12" customHeight="1" x14ac:dyDescent="0.15">
      <c r="A10" s="58" t="s">
        <v>882</v>
      </c>
      <c r="B10" s="58" t="s">
        <v>117</v>
      </c>
      <c r="C10" s="58" t="s">
        <v>700</v>
      </c>
      <c r="D10" s="58" t="s">
        <v>644</v>
      </c>
      <c r="E10" s="58" t="s">
        <v>337</v>
      </c>
      <c r="F10" s="137">
        <v>38847</v>
      </c>
      <c r="G10" s="138"/>
      <c r="H10" s="139">
        <v>16</v>
      </c>
      <c r="I10" s="139">
        <v>1</v>
      </c>
      <c r="J10" s="139">
        <v>2</v>
      </c>
      <c r="K10" s="139">
        <v>1</v>
      </c>
      <c r="L10" s="191">
        <f>20036</f>
        <v>20036</v>
      </c>
      <c r="M10" s="191">
        <f t="shared" si="3"/>
        <v>1252.25</v>
      </c>
      <c r="N10" s="330">
        <f t="shared" si="4"/>
        <v>6.25E-2</v>
      </c>
      <c r="O10" s="330">
        <f t="shared" si="5"/>
        <v>0.25</v>
      </c>
      <c r="P10" s="56" t="s">
        <v>1601</v>
      </c>
      <c r="Q10" s="56" t="s">
        <v>150</v>
      </c>
      <c r="R10" s="58" t="s">
        <v>1785</v>
      </c>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BA10" s="141">
        <f t="shared" si="0"/>
        <v>1</v>
      </c>
      <c r="BC10" s="140" t="str">
        <f t="shared" si="1"/>
        <v/>
      </c>
      <c r="BD10" s="141" t="str">
        <f t="shared" si="2"/>
        <v/>
      </c>
    </row>
    <row r="11" spans="1:58" s="140" customFormat="1" ht="12" customHeight="1" x14ac:dyDescent="0.15">
      <c r="A11" s="58" t="s">
        <v>597</v>
      </c>
      <c r="B11" s="58" t="s">
        <v>112</v>
      </c>
      <c r="C11" s="58" t="s">
        <v>821</v>
      </c>
      <c r="D11" s="58" t="s">
        <v>768</v>
      </c>
      <c r="E11" s="58" t="s">
        <v>215</v>
      </c>
      <c r="F11" s="137">
        <v>38839</v>
      </c>
      <c r="G11" s="138"/>
      <c r="H11" s="139">
        <v>15</v>
      </c>
      <c r="I11" s="139">
        <v>1</v>
      </c>
      <c r="J11" s="139">
        <v>1</v>
      </c>
      <c r="K11" s="139">
        <v>1</v>
      </c>
      <c r="L11" s="191">
        <f>21813+205+200</f>
        <v>22218</v>
      </c>
      <c r="M11" s="191">
        <f t="shared" si="3"/>
        <v>1481.2</v>
      </c>
      <c r="N11" s="330">
        <f t="shared" si="4"/>
        <v>6.6666666666666666E-2</v>
      </c>
      <c r="O11" s="330">
        <f t="shared" si="5"/>
        <v>0.2</v>
      </c>
      <c r="P11" s="193" t="s">
        <v>1976</v>
      </c>
      <c r="Q11" s="56"/>
      <c r="R11" s="58" t="s">
        <v>2036</v>
      </c>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BA11" s="141">
        <f t="shared" si="0"/>
        <v>1</v>
      </c>
      <c r="BC11" s="140" t="str">
        <f t="shared" si="1"/>
        <v/>
      </c>
      <c r="BD11" s="141" t="str">
        <f t="shared" si="2"/>
        <v/>
      </c>
    </row>
    <row r="12" spans="1:58" s="140" customFormat="1" ht="12" customHeight="1" x14ac:dyDescent="0.15">
      <c r="A12" s="58" t="s">
        <v>800</v>
      </c>
      <c r="B12" s="58" t="s">
        <v>1505</v>
      </c>
      <c r="C12" s="58" t="s">
        <v>587</v>
      </c>
      <c r="D12" s="58" t="s">
        <v>699</v>
      </c>
      <c r="E12" s="58" t="s">
        <v>254</v>
      </c>
      <c r="F12" s="137">
        <v>38812</v>
      </c>
      <c r="G12" s="138">
        <v>75000</v>
      </c>
      <c r="H12" s="139">
        <v>19</v>
      </c>
      <c r="I12" s="139">
        <v>5</v>
      </c>
      <c r="J12" s="139">
        <v>5</v>
      </c>
      <c r="K12" s="139">
        <v>5</v>
      </c>
      <c r="L12" s="191">
        <f>2200+3940+3920+5600+3080+4100+1098</f>
        <v>23938</v>
      </c>
      <c r="M12" s="191">
        <f>L12/H12</f>
        <v>1259.8947368421052</v>
      </c>
      <c r="N12" s="330">
        <f>I12/H12</f>
        <v>0.26315789473684209</v>
      </c>
      <c r="O12" s="330">
        <f>SUM(I12:K12)/H12</f>
        <v>0.78947368421052633</v>
      </c>
      <c r="P12" s="56" t="s">
        <v>1689</v>
      </c>
      <c r="Q12" s="56" t="s">
        <v>129</v>
      </c>
      <c r="R12" s="58" t="s">
        <v>3354</v>
      </c>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BA12" s="141">
        <f>IF(I12="","",IF(I12&gt;0,1,0))</f>
        <v>1</v>
      </c>
      <c r="BC12" s="140" t="str">
        <f>IF(G12="","",IF(L12="unraced","",IF(G12&lt;L12,"XX","")))</f>
        <v/>
      </c>
      <c r="BD12" s="141" t="str">
        <f>IF(BC12="","",L12-G12)</f>
        <v/>
      </c>
    </row>
    <row r="13" spans="1:58" s="140" customFormat="1" ht="12" customHeight="1" x14ac:dyDescent="0.15">
      <c r="A13" s="58" t="s">
        <v>425</v>
      </c>
      <c r="B13" s="58" t="s">
        <v>713</v>
      </c>
      <c r="C13" s="58" t="s">
        <v>659</v>
      </c>
      <c r="D13" s="58" t="s">
        <v>623</v>
      </c>
      <c r="E13" s="58" t="s">
        <v>280</v>
      </c>
      <c r="F13" s="137">
        <v>38783</v>
      </c>
      <c r="G13" s="138">
        <v>40000</v>
      </c>
      <c r="H13" s="139">
        <v>12</v>
      </c>
      <c r="I13" s="139">
        <v>1</v>
      </c>
      <c r="J13" s="139">
        <v>4</v>
      </c>
      <c r="K13" s="139">
        <v>1</v>
      </c>
      <c r="L13" s="191">
        <f>1710+250+2040+9900+1680+3800+380+300+1600+600+1750+260</f>
        <v>24270</v>
      </c>
      <c r="M13" s="191">
        <f t="shared" si="3"/>
        <v>2022.5</v>
      </c>
      <c r="N13" s="330">
        <f t="shared" si="4"/>
        <v>8.3333333333333329E-2</v>
      </c>
      <c r="O13" s="330">
        <f t="shared" si="5"/>
        <v>0.5</v>
      </c>
      <c r="P13" s="56" t="s">
        <v>1689</v>
      </c>
      <c r="Q13" s="56"/>
      <c r="R13" s="58" t="s">
        <v>2041</v>
      </c>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BA13" s="141">
        <f t="shared" si="0"/>
        <v>1</v>
      </c>
      <c r="BC13" s="140" t="str">
        <f t="shared" si="1"/>
        <v/>
      </c>
      <c r="BD13" s="141" t="str">
        <f t="shared" si="2"/>
        <v/>
      </c>
    </row>
    <row r="14" spans="1:58" s="140" customFormat="1" ht="12" customHeight="1" x14ac:dyDescent="0.15">
      <c r="A14" s="58" t="s">
        <v>467</v>
      </c>
      <c r="B14" s="58" t="s">
        <v>115</v>
      </c>
      <c r="C14" s="58" t="s">
        <v>954</v>
      </c>
      <c r="D14" s="58" t="s">
        <v>828</v>
      </c>
      <c r="E14" s="58" t="s">
        <v>646</v>
      </c>
      <c r="F14" s="137">
        <v>38799</v>
      </c>
      <c r="G14" s="138">
        <v>8000</v>
      </c>
      <c r="H14" s="139">
        <v>27</v>
      </c>
      <c r="I14" s="139">
        <v>1</v>
      </c>
      <c r="J14" s="139">
        <v>3</v>
      </c>
      <c r="K14" s="139">
        <v>6</v>
      </c>
      <c r="L14" s="191">
        <v>24397</v>
      </c>
      <c r="M14" s="191">
        <f>L14/H14</f>
        <v>903.59259259259261</v>
      </c>
      <c r="N14" s="330">
        <f>I14/H14</f>
        <v>3.7037037037037035E-2</v>
      </c>
      <c r="O14" s="330">
        <f>SUM(I14:K14)/H14</f>
        <v>0.37037037037037035</v>
      </c>
      <c r="P14" s="56" t="s">
        <v>1604</v>
      </c>
      <c r="Q14" s="56"/>
      <c r="R14" s="58" t="s">
        <v>4072</v>
      </c>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BA14" s="141">
        <f>IF(I14="","",IF(I14&gt;0,1,0))</f>
        <v>1</v>
      </c>
      <c r="BC14" s="140" t="str">
        <f>IF(G14="","",IF(L14="unraced","",IF(G14&lt;L14,"XX","")))</f>
        <v>XX</v>
      </c>
      <c r="BD14" s="141">
        <f>IF(BC14="","",L14-G14)</f>
        <v>16397</v>
      </c>
    </row>
    <row r="15" spans="1:58" s="140" customFormat="1" ht="12" customHeight="1" x14ac:dyDescent="0.15">
      <c r="A15" s="58" t="s">
        <v>762</v>
      </c>
      <c r="B15" s="58" t="s">
        <v>713</v>
      </c>
      <c r="C15" s="58" t="s">
        <v>523</v>
      </c>
      <c r="D15" s="58" t="s">
        <v>952</v>
      </c>
      <c r="E15" s="58" t="s">
        <v>264</v>
      </c>
      <c r="F15" s="137">
        <v>38845</v>
      </c>
      <c r="G15" s="138">
        <v>350000</v>
      </c>
      <c r="H15" s="139">
        <v>6</v>
      </c>
      <c r="I15" s="139">
        <v>2</v>
      </c>
      <c r="J15" s="139">
        <v>0</v>
      </c>
      <c r="K15" s="139">
        <v>0</v>
      </c>
      <c r="L15" s="191">
        <f>1500+188+1320+7800+15600+130</f>
        <v>26538</v>
      </c>
      <c r="M15" s="191">
        <f t="shared" si="3"/>
        <v>4423</v>
      </c>
      <c r="N15" s="330">
        <f t="shared" si="4"/>
        <v>0.33333333333333331</v>
      </c>
      <c r="O15" s="330">
        <f t="shared" si="5"/>
        <v>0.33333333333333331</v>
      </c>
      <c r="P15" s="56" t="s">
        <v>1604</v>
      </c>
      <c r="Q15" s="56"/>
      <c r="R15" s="58" t="s">
        <v>1155</v>
      </c>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BA15" s="141">
        <f t="shared" si="0"/>
        <v>1</v>
      </c>
      <c r="BC15" s="140" t="str">
        <f t="shared" si="1"/>
        <v/>
      </c>
      <c r="BD15" s="141" t="str">
        <f t="shared" si="2"/>
        <v/>
      </c>
    </row>
    <row r="16" spans="1:58" s="140" customFormat="1" ht="12" customHeight="1" x14ac:dyDescent="0.15">
      <c r="A16" s="58" t="s">
        <v>926</v>
      </c>
      <c r="B16" s="58" t="s">
        <v>112</v>
      </c>
      <c r="C16" s="58" t="s">
        <v>921</v>
      </c>
      <c r="D16" s="58" t="s">
        <v>495</v>
      </c>
      <c r="E16" s="58" t="s">
        <v>1277</v>
      </c>
      <c r="F16" s="137">
        <v>38786</v>
      </c>
      <c r="G16" s="138">
        <v>340000</v>
      </c>
      <c r="H16" s="139">
        <v>5</v>
      </c>
      <c r="I16" s="139">
        <v>1</v>
      </c>
      <c r="J16" s="139">
        <v>0</v>
      </c>
      <c r="K16" s="139">
        <v>1</v>
      </c>
      <c r="L16" s="191">
        <f>8638+18303</f>
        <v>26941</v>
      </c>
      <c r="M16" s="191">
        <f t="shared" si="3"/>
        <v>5388.2</v>
      </c>
      <c r="N16" s="330">
        <f t="shared" si="4"/>
        <v>0.2</v>
      </c>
      <c r="O16" s="330">
        <f t="shared" si="5"/>
        <v>0.4</v>
      </c>
      <c r="P16" s="56" t="s">
        <v>1603</v>
      </c>
      <c r="Q16" s="56"/>
      <c r="R16" s="58" t="s">
        <v>3155</v>
      </c>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U16" s="90"/>
      <c r="AV16" s="90"/>
      <c r="AW16" s="90"/>
      <c r="AX16" s="90"/>
      <c r="AY16" s="90"/>
      <c r="AZ16" s="90"/>
      <c r="BA16" s="150">
        <f t="shared" si="0"/>
        <v>1</v>
      </c>
      <c r="BB16" s="90"/>
      <c r="BC16" s="90" t="str">
        <f t="shared" si="1"/>
        <v/>
      </c>
      <c r="BD16" s="141" t="str">
        <f t="shared" si="2"/>
        <v/>
      </c>
      <c r="BE16" s="90"/>
      <c r="BF16" s="90"/>
    </row>
    <row r="17" spans="1:58" s="140" customFormat="1" ht="12" customHeight="1" x14ac:dyDescent="0.15">
      <c r="A17" s="58" t="s">
        <v>759</v>
      </c>
      <c r="B17" s="58" t="s">
        <v>969</v>
      </c>
      <c r="C17" s="58" t="s">
        <v>761</v>
      </c>
      <c r="D17" s="58" t="s">
        <v>443</v>
      </c>
      <c r="E17" s="58" t="s">
        <v>216</v>
      </c>
      <c r="F17" s="137">
        <v>38800</v>
      </c>
      <c r="G17" s="138"/>
      <c r="H17" s="139">
        <v>54</v>
      </c>
      <c r="I17" s="139">
        <v>6</v>
      </c>
      <c r="J17" s="139">
        <v>5</v>
      </c>
      <c r="K17" s="139">
        <v>10</v>
      </c>
      <c r="L17" s="191">
        <v>28033</v>
      </c>
      <c r="M17" s="191">
        <f>L17/H17</f>
        <v>519.12962962962968</v>
      </c>
      <c r="N17" s="330">
        <f>I17/H17</f>
        <v>0.1111111111111111</v>
      </c>
      <c r="O17" s="330">
        <f>SUM(I17:K17)/H17</f>
        <v>0.3888888888888889</v>
      </c>
      <c r="P17" s="56" t="s">
        <v>2282</v>
      </c>
      <c r="Q17" s="56" t="s">
        <v>3662</v>
      </c>
      <c r="R17" s="58" t="s">
        <v>4131</v>
      </c>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BA17" s="141">
        <f>IF(I17="","",IF(I17&gt;0,1,0))</f>
        <v>1</v>
      </c>
      <c r="BC17" s="140" t="str">
        <f>IF(G17="","",IF(L17="unraced","",IF(G17&lt;L17,"XX","")))</f>
        <v/>
      </c>
      <c r="BD17" s="141" t="str">
        <f>IF(BC17="","",L17-G17)</f>
        <v/>
      </c>
    </row>
    <row r="18" spans="1:58" s="90" customFormat="1" ht="12" customHeight="1" x14ac:dyDescent="0.15">
      <c r="A18" s="58" t="s">
        <v>546</v>
      </c>
      <c r="B18" s="58" t="s">
        <v>111</v>
      </c>
      <c r="C18" s="58" t="s">
        <v>563</v>
      </c>
      <c r="D18" s="58" t="s">
        <v>564</v>
      </c>
      <c r="E18" s="58" t="s">
        <v>195</v>
      </c>
      <c r="F18" s="137">
        <v>38741</v>
      </c>
      <c r="G18" s="138"/>
      <c r="H18" s="139">
        <v>13</v>
      </c>
      <c r="I18" s="139">
        <v>1</v>
      </c>
      <c r="J18" s="139">
        <v>3</v>
      </c>
      <c r="K18" s="139">
        <v>1</v>
      </c>
      <c r="L18" s="191">
        <f>28072</f>
        <v>28072</v>
      </c>
      <c r="M18" s="191">
        <f t="shared" si="3"/>
        <v>2159.3846153846152</v>
      </c>
      <c r="N18" s="330">
        <f t="shared" si="4"/>
        <v>7.6923076923076927E-2</v>
      </c>
      <c r="O18" s="330">
        <f t="shared" si="5"/>
        <v>0.38461538461538464</v>
      </c>
      <c r="P18" s="56" t="s">
        <v>1603</v>
      </c>
      <c r="Q18" s="56" t="s">
        <v>1241</v>
      </c>
      <c r="R18" s="58" t="s">
        <v>128</v>
      </c>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140"/>
      <c r="AU18" s="140"/>
      <c r="AV18" s="140"/>
      <c r="AW18" s="140"/>
      <c r="AX18" s="140"/>
      <c r="AY18" s="140"/>
      <c r="AZ18" s="140"/>
      <c r="BA18" s="141">
        <f t="shared" si="0"/>
        <v>1</v>
      </c>
      <c r="BB18" s="140"/>
      <c r="BC18" s="140" t="str">
        <f t="shared" si="1"/>
        <v/>
      </c>
      <c r="BD18" s="141" t="str">
        <f t="shared" si="2"/>
        <v/>
      </c>
      <c r="BE18" s="140"/>
      <c r="BF18" s="140"/>
    </row>
    <row r="19" spans="1:58" s="140" customFormat="1" ht="12" customHeight="1" x14ac:dyDescent="0.15">
      <c r="A19" s="58" t="s">
        <v>822</v>
      </c>
      <c r="B19" s="58" t="s">
        <v>111</v>
      </c>
      <c r="C19" s="58" t="s">
        <v>464</v>
      </c>
      <c r="D19" s="58" t="s">
        <v>511</v>
      </c>
      <c r="E19" s="58" t="s">
        <v>294</v>
      </c>
      <c r="F19" s="137">
        <v>38797</v>
      </c>
      <c r="G19" s="138">
        <v>55000</v>
      </c>
      <c r="H19" s="139">
        <v>13</v>
      </c>
      <c r="I19" s="139">
        <v>2</v>
      </c>
      <c r="J19" s="139">
        <v>2</v>
      </c>
      <c r="K19" s="139">
        <v>0</v>
      </c>
      <c r="L19" s="191">
        <v>28081</v>
      </c>
      <c r="M19" s="191">
        <f t="shared" si="3"/>
        <v>2160.0769230769229</v>
      </c>
      <c r="N19" s="330">
        <f t="shared" si="4"/>
        <v>0.15384615384615385</v>
      </c>
      <c r="O19" s="330">
        <f t="shared" si="5"/>
        <v>0.30769230769230771</v>
      </c>
      <c r="P19" s="56" t="s">
        <v>1603</v>
      </c>
      <c r="Q19" s="56"/>
      <c r="R19" s="58" t="s">
        <v>1841</v>
      </c>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U19" s="90"/>
      <c r="AV19" s="90"/>
      <c r="AW19" s="90"/>
      <c r="AX19" s="90"/>
      <c r="AY19" s="90"/>
      <c r="AZ19" s="90"/>
      <c r="BA19" s="150">
        <f t="shared" si="0"/>
        <v>1</v>
      </c>
      <c r="BB19" s="90"/>
      <c r="BC19" s="90" t="str">
        <f t="shared" si="1"/>
        <v/>
      </c>
      <c r="BD19" s="141" t="str">
        <f t="shared" si="2"/>
        <v/>
      </c>
      <c r="BE19" s="90"/>
      <c r="BF19" s="90"/>
    </row>
    <row r="20" spans="1:58" s="90" customFormat="1" ht="12" customHeight="1" x14ac:dyDescent="0.15">
      <c r="A20" s="58" t="s">
        <v>545</v>
      </c>
      <c r="B20" s="58" t="s">
        <v>713</v>
      </c>
      <c r="C20" s="58" t="s">
        <v>1040</v>
      </c>
      <c r="D20" s="58" t="s">
        <v>1041</v>
      </c>
      <c r="E20" s="58" t="s">
        <v>309</v>
      </c>
      <c r="F20" s="137">
        <v>38843</v>
      </c>
      <c r="G20" s="138">
        <v>110000</v>
      </c>
      <c r="H20" s="139">
        <v>26</v>
      </c>
      <c r="I20" s="139">
        <v>3</v>
      </c>
      <c r="J20" s="139">
        <v>2</v>
      </c>
      <c r="K20" s="139">
        <v>2</v>
      </c>
      <c r="L20" s="191">
        <f>28097+60+75+85+35+37</f>
        <v>28389</v>
      </c>
      <c r="M20" s="191">
        <f t="shared" si="3"/>
        <v>1091.8846153846155</v>
      </c>
      <c r="N20" s="330">
        <f t="shared" si="4"/>
        <v>0.11538461538461539</v>
      </c>
      <c r="O20" s="330">
        <f t="shared" si="5"/>
        <v>0.26923076923076922</v>
      </c>
      <c r="P20" s="56" t="s">
        <v>1601</v>
      </c>
      <c r="Q20" s="56"/>
      <c r="R20" s="58" t="s">
        <v>1163</v>
      </c>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140"/>
      <c r="BA20" s="150">
        <f t="shared" si="0"/>
        <v>1</v>
      </c>
      <c r="BC20" s="90" t="str">
        <f t="shared" si="1"/>
        <v/>
      </c>
      <c r="BD20" s="141" t="str">
        <f t="shared" si="2"/>
        <v/>
      </c>
    </row>
    <row r="21" spans="1:58" s="140" customFormat="1" ht="12" customHeight="1" x14ac:dyDescent="0.15">
      <c r="A21" s="58" t="s">
        <v>1019</v>
      </c>
      <c r="B21" s="58" t="s">
        <v>111</v>
      </c>
      <c r="C21" s="58" t="s">
        <v>444</v>
      </c>
      <c r="D21" s="58" t="s">
        <v>824</v>
      </c>
      <c r="E21" s="58" t="s">
        <v>192</v>
      </c>
      <c r="F21" s="137">
        <v>38812</v>
      </c>
      <c r="G21" s="138">
        <v>15000</v>
      </c>
      <c r="H21" s="139">
        <v>6</v>
      </c>
      <c r="I21" s="139">
        <v>2</v>
      </c>
      <c r="J21" s="139">
        <v>1</v>
      </c>
      <c r="K21" s="139">
        <v>2</v>
      </c>
      <c r="L21" s="191">
        <f>12240+2380+3900+10300+250</f>
        <v>29070</v>
      </c>
      <c r="M21" s="191">
        <f t="shared" si="3"/>
        <v>4845</v>
      </c>
      <c r="N21" s="330">
        <f t="shared" si="4"/>
        <v>0.33333333333333331</v>
      </c>
      <c r="O21" s="330">
        <f t="shared" si="5"/>
        <v>0.83333333333333337</v>
      </c>
      <c r="P21" s="56" t="s">
        <v>1603</v>
      </c>
      <c r="Q21" s="56"/>
      <c r="R21" s="58" t="s">
        <v>1156</v>
      </c>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U21" s="90"/>
      <c r="AV21" s="90"/>
      <c r="AW21" s="90"/>
      <c r="AX21" s="90"/>
      <c r="AY21" s="90"/>
      <c r="AZ21" s="90"/>
      <c r="BA21" s="150">
        <f t="shared" si="0"/>
        <v>1</v>
      </c>
      <c r="BB21" s="90"/>
      <c r="BC21" s="90" t="str">
        <f t="shared" si="1"/>
        <v>XX</v>
      </c>
      <c r="BD21" s="141">
        <f t="shared" si="2"/>
        <v>14070</v>
      </c>
      <c r="BE21" s="90"/>
      <c r="BF21" s="90"/>
    </row>
    <row r="22" spans="1:58" s="140" customFormat="1" ht="12" customHeight="1" x14ac:dyDescent="0.15">
      <c r="A22" s="58" t="s">
        <v>711</v>
      </c>
      <c r="B22" s="58" t="s">
        <v>1513</v>
      </c>
      <c r="C22" s="58" t="s">
        <v>839</v>
      </c>
      <c r="D22" s="58" t="s">
        <v>443</v>
      </c>
      <c r="E22" s="58" t="s">
        <v>296</v>
      </c>
      <c r="F22" s="137">
        <v>38814</v>
      </c>
      <c r="G22" s="138"/>
      <c r="H22" s="139">
        <v>9</v>
      </c>
      <c r="I22" s="139">
        <v>4</v>
      </c>
      <c r="J22" s="139">
        <v>1</v>
      </c>
      <c r="K22" s="139">
        <v>0</v>
      </c>
      <c r="L22" s="191">
        <f>560+840+100+6600+2200+6600+220+6600+6600</f>
        <v>30320</v>
      </c>
      <c r="M22" s="191">
        <f t="shared" si="3"/>
        <v>3368.8888888888887</v>
      </c>
      <c r="N22" s="330">
        <f t="shared" si="4"/>
        <v>0.44444444444444442</v>
      </c>
      <c r="O22" s="330">
        <f t="shared" si="5"/>
        <v>0.55555555555555558</v>
      </c>
      <c r="P22" s="56" t="s">
        <v>1604</v>
      </c>
      <c r="Q22" s="56"/>
      <c r="R22" s="58" t="s">
        <v>2279</v>
      </c>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BA22" s="141">
        <f t="shared" si="0"/>
        <v>1</v>
      </c>
      <c r="BC22" s="140" t="str">
        <f t="shared" si="1"/>
        <v/>
      </c>
      <c r="BD22" s="141" t="str">
        <f t="shared" si="2"/>
        <v/>
      </c>
    </row>
    <row r="23" spans="1:58" s="90" customFormat="1" ht="12" customHeight="1" x14ac:dyDescent="0.15">
      <c r="A23" s="58" t="s">
        <v>521</v>
      </c>
      <c r="B23" s="58" t="s">
        <v>969</v>
      </c>
      <c r="C23" s="58" t="s">
        <v>474</v>
      </c>
      <c r="D23" s="58" t="s">
        <v>475</v>
      </c>
      <c r="E23" s="58" t="s">
        <v>302</v>
      </c>
      <c r="F23" s="137">
        <v>38751</v>
      </c>
      <c r="G23" s="138">
        <v>425000</v>
      </c>
      <c r="H23" s="139">
        <v>17</v>
      </c>
      <c r="I23" s="139">
        <v>3</v>
      </c>
      <c r="J23" s="139">
        <v>8</v>
      </c>
      <c r="K23" s="139">
        <v>2</v>
      </c>
      <c r="L23" s="191">
        <f>31156</f>
        <v>31156</v>
      </c>
      <c r="M23" s="191">
        <f t="shared" si="3"/>
        <v>1832.7058823529412</v>
      </c>
      <c r="N23" s="330">
        <f t="shared" si="4"/>
        <v>0.17647058823529413</v>
      </c>
      <c r="O23" s="330">
        <f t="shared" si="5"/>
        <v>0.76470588235294112</v>
      </c>
      <c r="P23" s="56" t="s">
        <v>1601</v>
      </c>
      <c r="Q23" s="56" t="s">
        <v>151</v>
      </c>
      <c r="R23" s="58" t="s">
        <v>2024</v>
      </c>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61"/>
      <c r="AU23" s="140"/>
      <c r="AV23" s="140"/>
      <c r="AW23" s="140"/>
      <c r="AX23" s="140"/>
      <c r="AY23" s="140"/>
      <c r="AZ23" s="140"/>
      <c r="BA23" s="141">
        <f t="shared" si="0"/>
        <v>1</v>
      </c>
      <c r="BB23" s="140"/>
      <c r="BC23" s="140" t="str">
        <f t="shared" si="1"/>
        <v/>
      </c>
      <c r="BD23" s="141" t="str">
        <f t="shared" si="2"/>
        <v/>
      </c>
      <c r="BE23" s="140"/>
      <c r="BF23" s="140"/>
    </row>
    <row r="24" spans="1:58" s="90" customFormat="1" ht="12" customHeight="1" x14ac:dyDescent="0.15">
      <c r="A24" s="58" t="s">
        <v>981</v>
      </c>
      <c r="B24" s="58" t="s">
        <v>514</v>
      </c>
      <c r="C24" s="58" t="s">
        <v>656</v>
      </c>
      <c r="D24" s="58" t="s">
        <v>836</v>
      </c>
      <c r="E24" s="58" t="s">
        <v>262</v>
      </c>
      <c r="F24" s="137">
        <v>38798</v>
      </c>
      <c r="G24" s="138">
        <v>165000</v>
      </c>
      <c r="H24" s="139">
        <v>1</v>
      </c>
      <c r="I24" s="139">
        <v>1</v>
      </c>
      <c r="J24" s="139">
        <v>0</v>
      </c>
      <c r="K24" s="139">
        <v>0</v>
      </c>
      <c r="L24" s="191">
        <v>31200</v>
      </c>
      <c r="M24" s="191">
        <f t="shared" si="3"/>
        <v>31200</v>
      </c>
      <c r="N24" s="330">
        <f t="shared" si="4"/>
        <v>1</v>
      </c>
      <c r="O24" s="330">
        <f t="shared" si="5"/>
        <v>1</v>
      </c>
      <c r="P24" s="56" t="s">
        <v>1592</v>
      </c>
      <c r="Q24" s="56"/>
      <c r="R24" s="58" t="s">
        <v>3506</v>
      </c>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140"/>
      <c r="BA24" s="150">
        <f t="shared" si="0"/>
        <v>1</v>
      </c>
      <c r="BC24" s="90" t="str">
        <f t="shared" si="1"/>
        <v/>
      </c>
      <c r="BD24" s="141" t="str">
        <f t="shared" si="2"/>
        <v/>
      </c>
    </row>
    <row r="25" spans="1:58" s="90" customFormat="1" ht="12" customHeight="1" x14ac:dyDescent="0.15">
      <c r="A25" s="58" t="s">
        <v>765</v>
      </c>
      <c r="B25" s="58" t="s">
        <v>112</v>
      </c>
      <c r="C25" s="58" t="s">
        <v>559</v>
      </c>
      <c r="D25" s="58" t="s">
        <v>824</v>
      </c>
      <c r="E25" s="58" t="s">
        <v>281</v>
      </c>
      <c r="F25" s="137">
        <v>38827</v>
      </c>
      <c r="G25" s="138">
        <v>40000</v>
      </c>
      <c r="H25" s="139">
        <v>7</v>
      </c>
      <c r="I25" s="139">
        <v>1</v>
      </c>
      <c r="J25" s="139">
        <v>1</v>
      </c>
      <c r="K25" s="139">
        <v>0</v>
      </c>
      <c r="L25" s="191">
        <v>42120</v>
      </c>
      <c r="M25" s="191">
        <f t="shared" si="3"/>
        <v>6017.1428571428569</v>
      </c>
      <c r="N25" s="330">
        <f t="shared" si="4"/>
        <v>0.14285714285714285</v>
      </c>
      <c r="O25" s="330">
        <f t="shared" si="5"/>
        <v>0.2857142857142857</v>
      </c>
      <c r="P25" s="56" t="s">
        <v>1601</v>
      </c>
      <c r="Q25" s="56" t="s">
        <v>1607</v>
      </c>
      <c r="R25" s="58" t="s">
        <v>3647</v>
      </c>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61"/>
      <c r="BA25" s="150">
        <f t="shared" si="0"/>
        <v>1</v>
      </c>
      <c r="BC25" s="90" t="str">
        <f t="shared" si="1"/>
        <v>XX</v>
      </c>
      <c r="BD25" s="141">
        <f t="shared" si="2"/>
        <v>2120</v>
      </c>
    </row>
    <row r="26" spans="1:58" s="90" customFormat="1" ht="12" customHeight="1" x14ac:dyDescent="0.15">
      <c r="A26" s="58" t="s">
        <v>1101</v>
      </c>
      <c r="B26" s="58" t="s">
        <v>447</v>
      </c>
      <c r="C26" s="58" t="s">
        <v>939</v>
      </c>
      <c r="D26" s="58" t="s">
        <v>672</v>
      </c>
      <c r="E26" s="58" t="s">
        <v>217</v>
      </c>
      <c r="F26" s="137">
        <v>38837</v>
      </c>
      <c r="G26" s="138">
        <v>250000</v>
      </c>
      <c r="H26" s="139">
        <v>17</v>
      </c>
      <c r="I26" s="139">
        <v>1</v>
      </c>
      <c r="J26" s="139">
        <v>4</v>
      </c>
      <c r="K26" s="139">
        <v>2</v>
      </c>
      <c r="L26" s="191">
        <f>43888</f>
        <v>43888</v>
      </c>
      <c r="M26" s="191">
        <f t="shared" si="3"/>
        <v>2581.6470588235293</v>
      </c>
      <c r="N26" s="330">
        <f t="shared" si="4"/>
        <v>5.8823529411764705E-2</v>
      </c>
      <c r="O26" s="330">
        <f t="shared" si="5"/>
        <v>0.41176470588235292</v>
      </c>
      <c r="P26" s="56" t="s">
        <v>1592</v>
      </c>
      <c r="Q26" s="56"/>
      <c r="R26" s="58" t="s">
        <v>1203</v>
      </c>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140"/>
      <c r="BA26" s="150">
        <f t="shared" si="0"/>
        <v>1</v>
      </c>
      <c r="BC26" s="90" t="str">
        <f t="shared" si="1"/>
        <v/>
      </c>
      <c r="BD26" s="141" t="str">
        <f t="shared" si="2"/>
        <v/>
      </c>
    </row>
    <row r="27" spans="1:58" s="140" customFormat="1" ht="12" customHeight="1" x14ac:dyDescent="0.15">
      <c r="A27" s="58" t="s">
        <v>702</v>
      </c>
      <c r="B27" s="58" t="s">
        <v>1265</v>
      </c>
      <c r="C27" s="58" t="s">
        <v>452</v>
      </c>
      <c r="D27" s="58" t="s">
        <v>453</v>
      </c>
      <c r="E27" s="58" t="s">
        <v>238</v>
      </c>
      <c r="F27" s="137">
        <v>38796</v>
      </c>
      <c r="G27" s="138"/>
      <c r="H27" s="139">
        <v>10</v>
      </c>
      <c r="I27" s="139">
        <v>2</v>
      </c>
      <c r="J27" s="139">
        <v>1</v>
      </c>
      <c r="K27" s="139">
        <v>1</v>
      </c>
      <c r="L27" s="191">
        <f>45291</f>
        <v>45291</v>
      </c>
      <c r="M27" s="191">
        <f t="shared" si="3"/>
        <v>4529.1000000000004</v>
      </c>
      <c r="N27" s="330">
        <f t="shared" si="4"/>
        <v>0.2</v>
      </c>
      <c r="O27" s="330">
        <f t="shared" si="5"/>
        <v>0.4</v>
      </c>
      <c r="P27" s="56" t="s">
        <v>1604</v>
      </c>
      <c r="Q27" s="56"/>
      <c r="R27" s="58" t="s">
        <v>1152</v>
      </c>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61"/>
      <c r="AU27" s="61"/>
      <c r="AV27" s="61"/>
      <c r="AW27" s="61"/>
      <c r="AX27" s="61"/>
      <c r="AY27" s="61"/>
      <c r="AZ27" s="61"/>
      <c r="BA27" s="62">
        <f t="shared" ref="BA27:BA66" si="6">IF(I27="","",IF(I27&gt;0,1,0))</f>
        <v>1</v>
      </c>
      <c r="BB27" s="61"/>
      <c r="BC27" s="61" t="str">
        <f t="shared" ref="BC27:BC66" si="7">IF(G27="","",IF(L27="unraced","",IF(G27&lt;L27,"XX","")))</f>
        <v/>
      </c>
      <c r="BD27" s="141" t="str">
        <f t="shared" ref="BD27:BD66" si="8">IF(BC27="","",L27-G27)</f>
        <v/>
      </c>
    </row>
    <row r="28" spans="1:58" s="140" customFormat="1" ht="12" customHeight="1" x14ac:dyDescent="0.15">
      <c r="A28" s="58" t="s">
        <v>929</v>
      </c>
      <c r="B28" s="58" t="s">
        <v>1511</v>
      </c>
      <c r="C28" s="58" t="s">
        <v>949</v>
      </c>
      <c r="D28" s="58" t="s">
        <v>459</v>
      </c>
      <c r="E28" s="58" t="s">
        <v>242</v>
      </c>
      <c r="F28" s="137">
        <v>38777</v>
      </c>
      <c r="G28" s="138">
        <v>60000</v>
      </c>
      <c r="H28" s="139">
        <v>16</v>
      </c>
      <c r="I28" s="139">
        <v>3</v>
      </c>
      <c r="J28" s="139">
        <v>1</v>
      </c>
      <c r="K28" s="139">
        <v>1</v>
      </c>
      <c r="L28" s="191">
        <v>54642</v>
      </c>
      <c r="M28" s="191">
        <f t="shared" si="3"/>
        <v>3415.125</v>
      </c>
      <c r="N28" s="330">
        <f t="shared" si="4"/>
        <v>0.1875</v>
      </c>
      <c r="O28" s="330">
        <f t="shared" si="5"/>
        <v>0.3125</v>
      </c>
      <c r="P28" s="56" t="s">
        <v>1689</v>
      </c>
      <c r="Q28" s="56"/>
      <c r="R28" s="58" t="s">
        <v>1704</v>
      </c>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BA28" s="141">
        <f t="shared" si="6"/>
        <v>1</v>
      </c>
      <c r="BC28" s="140" t="str">
        <f t="shared" si="7"/>
        <v/>
      </c>
      <c r="BD28" s="141" t="str">
        <f t="shared" si="8"/>
        <v/>
      </c>
    </row>
    <row r="29" spans="1:58" s="140" customFormat="1" ht="12" customHeight="1" x14ac:dyDescent="0.15">
      <c r="A29" s="58" t="s">
        <v>1127</v>
      </c>
      <c r="B29" s="58" t="s">
        <v>116</v>
      </c>
      <c r="C29" s="58" t="s">
        <v>671</v>
      </c>
      <c r="D29" s="58" t="s">
        <v>1042</v>
      </c>
      <c r="E29" s="58" t="s">
        <v>205</v>
      </c>
      <c r="F29" s="137">
        <v>38859</v>
      </c>
      <c r="G29" s="138"/>
      <c r="H29" s="139">
        <v>11</v>
      </c>
      <c r="I29" s="139">
        <v>1</v>
      </c>
      <c r="J29" s="139">
        <v>0</v>
      </c>
      <c r="K29" s="139">
        <v>3</v>
      </c>
      <c r="L29" s="191">
        <v>58791</v>
      </c>
      <c r="M29" s="191">
        <f t="shared" si="3"/>
        <v>5344.636363636364</v>
      </c>
      <c r="N29" s="330">
        <f t="shared" si="4"/>
        <v>9.0909090909090912E-2</v>
      </c>
      <c r="O29" s="330">
        <f t="shared" si="5"/>
        <v>0.36363636363636365</v>
      </c>
      <c r="P29" s="56" t="s">
        <v>1601</v>
      </c>
      <c r="Q29" s="56"/>
      <c r="R29" s="58" t="s">
        <v>2513</v>
      </c>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61"/>
      <c r="BA29" s="141">
        <f t="shared" si="6"/>
        <v>1</v>
      </c>
      <c r="BC29" s="140" t="str">
        <f t="shared" si="7"/>
        <v/>
      </c>
      <c r="BD29" s="141" t="str">
        <f t="shared" si="8"/>
        <v/>
      </c>
    </row>
    <row r="30" spans="1:58" s="140" customFormat="1" ht="12" customHeight="1" x14ac:dyDescent="0.15">
      <c r="A30" s="58" t="s">
        <v>763</v>
      </c>
      <c r="B30" s="58" t="s">
        <v>111</v>
      </c>
      <c r="C30" s="58" t="s">
        <v>449</v>
      </c>
      <c r="D30" s="58" t="s">
        <v>974</v>
      </c>
      <c r="E30" s="58" t="s">
        <v>301</v>
      </c>
      <c r="F30" s="137">
        <v>38751</v>
      </c>
      <c r="G30" s="138">
        <v>150000</v>
      </c>
      <c r="H30" s="139">
        <v>21</v>
      </c>
      <c r="I30" s="139">
        <v>6</v>
      </c>
      <c r="J30" s="139">
        <v>2</v>
      </c>
      <c r="K30" s="139">
        <v>4</v>
      </c>
      <c r="L30" s="191">
        <f>66139</f>
        <v>66139</v>
      </c>
      <c r="M30" s="191">
        <f t="shared" si="3"/>
        <v>3149.4761904761904</v>
      </c>
      <c r="N30" s="330">
        <f t="shared" si="4"/>
        <v>0.2857142857142857</v>
      </c>
      <c r="O30" s="330">
        <f t="shared" si="5"/>
        <v>0.5714285714285714</v>
      </c>
      <c r="P30" s="56" t="s">
        <v>1601</v>
      </c>
      <c r="Q30" s="56"/>
      <c r="R30" s="58" t="s">
        <v>2337</v>
      </c>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BA30" s="141">
        <f t="shared" si="6"/>
        <v>1</v>
      </c>
      <c r="BC30" s="140" t="str">
        <f t="shared" si="7"/>
        <v/>
      </c>
      <c r="BD30" s="141" t="str">
        <f t="shared" si="8"/>
        <v/>
      </c>
    </row>
    <row r="31" spans="1:58" s="140" customFormat="1" ht="12" customHeight="1" x14ac:dyDescent="0.15">
      <c r="A31" s="58" t="s">
        <v>776</v>
      </c>
      <c r="B31" s="58" t="s">
        <v>110</v>
      </c>
      <c r="C31" s="58" t="s">
        <v>457</v>
      </c>
      <c r="D31" s="58" t="s">
        <v>458</v>
      </c>
      <c r="E31" s="58" t="s">
        <v>325</v>
      </c>
      <c r="F31" s="137">
        <v>38772</v>
      </c>
      <c r="G31" s="138">
        <v>90000</v>
      </c>
      <c r="H31" s="139">
        <v>21</v>
      </c>
      <c r="I31" s="139">
        <v>4</v>
      </c>
      <c r="J31" s="139">
        <v>1</v>
      </c>
      <c r="K31" s="139">
        <v>1</v>
      </c>
      <c r="L31" s="191">
        <f>19579+2803+1468+14847+1500+13167+2044+1950+10826+3243+1767+572</f>
        <v>73766</v>
      </c>
      <c r="M31" s="191">
        <f t="shared" si="3"/>
        <v>3512.6666666666665</v>
      </c>
      <c r="N31" s="330">
        <f t="shared" si="4"/>
        <v>0.19047619047619047</v>
      </c>
      <c r="O31" s="330">
        <f t="shared" si="5"/>
        <v>0.2857142857142857</v>
      </c>
      <c r="P31" s="56" t="s">
        <v>1604</v>
      </c>
      <c r="Q31" s="56" t="s">
        <v>307</v>
      </c>
      <c r="R31" s="58" t="s">
        <v>2342</v>
      </c>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BA31" s="141">
        <f t="shared" si="6"/>
        <v>1</v>
      </c>
      <c r="BC31" s="140" t="str">
        <f t="shared" si="7"/>
        <v/>
      </c>
      <c r="BD31" s="141" t="str">
        <f t="shared" si="8"/>
        <v/>
      </c>
    </row>
    <row r="32" spans="1:58" s="140" customFormat="1" ht="12" customHeight="1" x14ac:dyDescent="0.15">
      <c r="A32" s="58" t="s">
        <v>716</v>
      </c>
      <c r="B32" s="58" t="s">
        <v>969</v>
      </c>
      <c r="C32" s="58" t="s">
        <v>932</v>
      </c>
      <c r="D32" s="58" t="s">
        <v>945</v>
      </c>
      <c r="E32" s="58" t="s">
        <v>339</v>
      </c>
      <c r="F32" s="137">
        <v>38780</v>
      </c>
      <c r="G32" s="138">
        <v>100000</v>
      </c>
      <c r="H32" s="139">
        <v>25</v>
      </c>
      <c r="I32" s="139">
        <v>2</v>
      </c>
      <c r="J32" s="139">
        <v>3</v>
      </c>
      <c r="K32" s="139">
        <v>6</v>
      </c>
      <c r="L32" s="191">
        <f>76338+187+950+1800+0+900+90+450+0</f>
        <v>80715</v>
      </c>
      <c r="M32" s="191">
        <f t="shared" si="3"/>
        <v>3228.6</v>
      </c>
      <c r="N32" s="330">
        <f t="shared" si="4"/>
        <v>0.08</v>
      </c>
      <c r="O32" s="330">
        <f t="shared" si="5"/>
        <v>0.44</v>
      </c>
      <c r="P32" s="56" t="s">
        <v>2075</v>
      </c>
      <c r="Q32" s="56"/>
      <c r="R32" s="58" t="s">
        <v>404</v>
      </c>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BA32" s="141">
        <f t="shared" si="6"/>
        <v>1</v>
      </c>
      <c r="BC32" s="140" t="str">
        <f t="shared" si="7"/>
        <v/>
      </c>
      <c r="BD32" s="141" t="str">
        <f t="shared" si="8"/>
        <v/>
      </c>
    </row>
    <row r="33" spans="1:56" s="140" customFormat="1" ht="12" customHeight="1" x14ac:dyDescent="0.15">
      <c r="A33" s="58" t="s">
        <v>737</v>
      </c>
      <c r="B33" s="58" t="s">
        <v>113</v>
      </c>
      <c r="C33" s="58" t="s">
        <v>734</v>
      </c>
      <c r="D33" s="58" t="s">
        <v>522</v>
      </c>
      <c r="E33" s="58" t="s">
        <v>1687</v>
      </c>
      <c r="F33" s="137">
        <v>38825</v>
      </c>
      <c r="G33" s="138"/>
      <c r="H33" s="139">
        <v>32</v>
      </c>
      <c r="I33" s="139">
        <v>4</v>
      </c>
      <c r="J33" s="139">
        <v>3</v>
      </c>
      <c r="K33" s="139">
        <v>9</v>
      </c>
      <c r="L33" s="191">
        <f>72817+9600+660+220+2145+195+165+165</f>
        <v>85967</v>
      </c>
      <c r="M33" s="191">
        <f t="shared" si="3"/>
        <v>2686.46875</v>
      </c>
      <c r="N33" s="330">
        <f t="shared" si="4"/>
        <v>0.125</v>
      </c>
      <c r="O33" s="330">
        <f t="shared" si="5"/>
        <v>0.5</v>
      </c>
      <c r="P33" s="56" t="s">
        <v>1976</v>
      </c>
      <c r="Q33" s="56"/>
      <c r="R33" s="58" t="s">
        <v>2412</v>
      </c>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BA33" s="141">
        <f t="shared" si="6"/>
        <v>1</v>
      </c>
      <c r="BC33" s="140" t="str">
        <f t="shared" si="7"/>
        <v/>
      </c>
      <c r="BD33" s="141" t="str">
        <f t="shared" si="8"/>
        <v/>
      </c>
    </row>
    <row r="34" spans="1:56" s="140" customFormat="1" ht="12" customHeight="1" x14ac:dyDescent="0.15">
      <c r="A34" s="58" t="s">
        <v>736</v>
      </c>
      <c r="B34" s="58" t="s">
        <v>1513</v>
      </c>
      <c r="C34" s="58" t="s">
        <v>450</v>
      </c>
      <c r="D34" s="58" t="s">
        <v>608</v>
      </c>
      <c r="E34" s="58" t="s">
        <v>211</v>
      </c>
      <c r="F34" s="137">
        <v>38800</v>
      </c>
      <c r="G34" s="138">
        <v>130000</v>
      </c>
      <c r="H34" s="139">
        <v>19</v>
      </c>
      <c r="I34" s="139">
        <v>4</v>
      </c>
      <c r="J34" s="139">
        <v>2</v>
      </c>
      <c r="K34" s="139">
        <v>3</v>
      </c>
      <c r="L34" s="191">
        <f>46500+943+85+18747+500+205+2620+745+3051+7000+4600+13800+750+1605+345+140</f>
        <v>101636</v>
      </c>
      <c r="M34" s="191">
        <f>L34/H34</f>
        <v>5349.2631578947367</v>
      </c>
      <c r="N34" s="330">
        <f>I34/H34</f>
        <v>0.21052631578947367</v>
      </c>
      <c r="O34" s="330">
        <f>SUM(I34:K34)/H34</f>
        <v>0.47368421052631576</v>
      </c>
      <c r="P34" s="56" t="s">
        <v>1976</v>
      </c>
      <c r="Q34" s="56" t="s">
        <v>3661</v>
      </c>
      <c r="R34" s="58" t="s">
        <v>4133</v>
      </c>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BA34" s="141">
        <f>IF(I34="","",IF(I34&gt;0,1,0))</f>
        <v>1</v>
      </c>
      <c r="BC34" s="140" t="str">
        <f>IF(G34="","",IF(L34="unraced","",IF(G34&lt;L34,"XX","")))</f>
        <v/>
      </c>
      <c r="BD34" s="141" t="str">
        <f>IF(BC34="","",L34-G34)</f>
        <v/>
      </c>
    </row>
    <row r="35" spans="1:56" s="140" customFormat="1" ht="12" customHeight="1" x14ac:dyDescent="0.15">
      <c r="A35" s="58" t="s">
        <v>589</v>
      </c>
      <c r="B35" s="58" t="s">
        <v>1512</v>
      </c>
      <c r="C35" s="58" t="s">
        <v>485</v>
      </c>
      <c r="D35" s="58" t="s">
        <v>454</v>
      </c>
      <c r="E35" s="58" t="s">
        <v>191</v>
      </c>
      <c r="F35" s="137">
        <v>38765</v>
      </c>
      <c r="G35" s="138">
        <v>350000</v>
      </c>
      <c r="H35" s="139">
        <v>37</v>
      </c>
      <c r="I35" s="139">
        <v>3</v>
      </c>
      <c r="J35" s="139">
        <v>3</v>
      </c>
      <c r="K35" s="139">
        <v>4</v>
      </c>
      <c r="L35" s="191">
        <f>110400+100+500</f>
        <v>111000</v>
      </c>
      <c r="M35" s="191">
        <f t="shared" si="3"/>
        <v>3000</v>
      </c>
      <c r="N35" s="330">
        <f t="shared" si="4"/>
        <v>8.1081081081081086E-2</v>
      </c>
      <c r="O35" s="330">
        <f t="shared" si="5"/>
        <v>0.27027027027027029</v>
      </c>
      <c r="P35" s="56" t="s">
        <v>1689</v>
      </c>
      <c r="Q35" s="56"/>
      <c r="R35" s="58" t="s">
        <v>4507</v>
      </c>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BA35" s="141">
        <f t="shared" si="6"/>
        <v>1</v>
      </c>
      <c r="BC35" s="140" t="str">
        <f t="shared" si="7"/>
        <v/>
      </c>
      <c r="BD35" s="141" t="str">
        <f t="shared" si="8"/>
        <v/>
      </c>
    </row>
    <row r="36" spans="1:56" s="140" customFormat="1" ht="12" customHeight="1" x14ac:dyDescent="0.15">
      <c r="A36" s="58" t="s">
        <v>834</v>
      </c>
      <c r="B36" s="58" t="s">
        <v>713</v>
      </c>
      <c r="C36" s="58" t="s">
        <v>483</v>
      </c>
      <c r="D36" s="58" t="s">
        <v>695</v>
      </c>
      <c r="E36" s="58" t="s">
        <v>341</v>
      </c>
      <c r="F36" s="137">
        <v>38754</v>
      </c>
      <c r="G36" s="138">
        <v>400000</v>
      </c>
      <c r="H36" s="139">
        <v>17</v>
      </c>
      <c r="I36" s="139">
        <v>5</v>
      </c>
      <c r="J36" s="139">
        <v>0</v>
      </c>
      <c r="K36" s="139">
        <v>1</v>
      </c>
      <c r="L36" s="191">
        <f>113170+1290+1860+500+200+200</f>
        <v>117220</v>
      </c>
      <c r="M36" s="191">
        <f t="shared" si="3"/>
        <v>6895.2941176470586</v>
      </c>
      <c r="N36" s="330">
        <f t="shared" si="4"/>
        <v>0.29411764705882354</v>
      </c>
      <c r="O36" s="330">
        <f t="shared" si="5"/>
        <v>0.35294117647058826</v>
      </c>
      <c r="P36" s="56" t="s">
        <v>1593</v>
      </c>
      <c r="Q36" s="56"/>
      <c r="R36" s="58" t="s">
        <v>65</v>
      </c>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61"/>
      <c r="BA36" s="141">
        <f t="shared" si="6"/>
        <v>1</v>
      </c>
      <c r="BC36" s="140" t="str">
        <f t="shared" si="7"/>
        <v/>
      </c>
      <c r="BD36" s="141" t="str">
        <f t="shared" si="8"/>
        <v/>
      </c>
    </row>
    <row r="37" spans="1:56" s="140" customFormat="1" ht="12" customHeight="1" x14ac:dyDescent="0.15">
      <c r="A37" s="58" t="s">
        <v>637</v>
      </c>
      <c r="B37" s="58" t="s">
        <v>713</v>
      </c>
      <c r="C37" s="58" t="s">
        <v>1049</v>
      </c>
      <c r="D37" s="58" t="s">
        <v>448</v>
      </c>
      <c r="E37" s="58" t="s">
        <v>272</v>
      </c>
      <c r="F37" s="137">
        <v>38835</v>
      </c>
      <c r="G37" s="138"/>
      <c r="H37" s="139">
        <v>29</v>
      </c>
      <c r="I37" s="139">
        <v>7</v>
      </c>
      <c r="J37" s="139">
        <v>9</v>
      </c>
      <c r="K37" s="139">
        <v>3</v>
      </c>
      <c r="L37" s="191">
        <f>58071+300+8700+3400+1980+3000+10200+10200+10200+10800+2420+880+2200+0+1600+255</f>
        <v>124206</v>
      </c>
      <c r="M37" s="191">
        <f>L37/H37</f>
        <v>4282.9655172413795</v>
      </c>
      <c r="N37" s="330">
        <f>I37/H37</f>
        <v>0.2413793103448276</v>
      </c>
      <c r="O37" s="330">
        <f>SUM(I37:K37)/H37</f>
        <v>0.65517241379310343</v>
      </c>
      <c r="P37" s="56" t="s">
        <v>1689</v>
      </c>
      <c r="Q37" s="56"/>
      <c r="R37" s="58" t="s">
        <v>3473</v>
      </c>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BA37" s="141">
        <f>IF(I37="","",IF(I37&gt;0,1,0))</f>
        <v>1</v>
      </c>
      <c r="BC37" s="140" t="str">
        <f>IF(G37="","",IF(L37="unraced","",IF(G37&lt;L37,"XX","")))</f>
        <v/>
      </c>
      <c r="BD37" s="141" t="str">
        <f>IF(BC37="","",L37-G37)</f>
        <v/>
      </c>
    </row>
    <row r="38" spans="1:56" s="140" customFormat="1" ht="12" customHeight="1" x14ac:dyDescent="0.15">
      <c r="A38" s="58" t="s">
        <v>733</v>
      </c>
      <c r="B38" s="58" t="s">
        <v>969</v>
      </c>
      <c r="C38" s="58" t="s">
        <v>451</v>
      </c>
      <c r="D38" s="58" t="s">
        <v>999</v>
      </c>
      <c r="E38" s="58" t="s">
        <v>266</v>
      </c>
      <c r="F38" s="137">
        <v>38797</v>
      </c>
      <c r="G38" s="138"/>
      <c r="H38" s="139">
        <v>39</v>
      </c>
      <c r="I38" s="139">
        <v>10</v>
      </c>
      <c r="J38" s="139">
        <v>11</v>
      </c>
      <c r="K38" s="139">
        <v>5</v>
      </c>
      <c r="L38" s="191">
        <v>126352</v>
      </c>
      <c r="M38" s="191">
        <f>L38/H38</f>
        <v>3239.7948717948716</v>
      </c>
      <c r="N38" s="330">
        <f>I38/H38</f>
        <v>0.25641025641025639</v>
      </c>
      <c r="O38" s="330">
        <f>SUM(I38:K38)/H38</f>
        <v>0.66666666666666663</v>
      </c>
      <c r="P38" s="56" t="s">
        <v>2282</v>
      </c>
      <c r="Q38" s="56" t="s">
        <v>3661</v>
      </c>
      <c r="R38" s="58" t="s">
        <v>4130</v>
      </c>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BA38" s="141">
        <f>IF(I38="","",IF(I38&gt;0,1,0))</f>
        <v>1</v>
      </c>
      <c r="BC38" s="140" t="str">
        <f>IF(G38="","",IF(L38="unraced","",IF(G38&lt;L38,"XX","")))</f>
        <v/>
      </c>
      <c r="BD38" s="141" t="str">
        <f>IF(BC38="","",L38-G38)</f>
        <v/>
      </c>
    </row>
    <row r="39" spans="1:56" s="140" customFormat="1" ht="12" customHeight="1" x14ac:dyDescent="0.15">
      <c r="A39" s="58" t="s">
        <v>876</v>
      </c>
      <c r="B39" s="58" t="s">
        <v>113</v>
      </c>
      <c r="C39" s="58" t="s">
        <v>963</v>
      </c>
      <c r="D39" s="58" t="s">
        <v>836</v>
      </c>
      <c r="E39" s="58" t="s">
        <v>222</v>
      </c>
      <c r="F39" s="137">
        <v>38840</v>
      </c>
      <c r="G39" s="138"/>
      <c r="H39" s="139">
        <v>27</v>
      </c>
      <c r="I39" s="139">
        <v>6</v>
      </c>
      <c r="J39" s="139">
        <v>5</v>
      </c>
      <c r="K39" s="139">
        <v>3</v>
      </c>
      <c r="L39" s="191">
        <f>109380+1150+2300+2400+13800+840+200</f>
        <v>130070</v>
      </c>
      <c r="M39" s="191">
        <f>L39/H39</f>
        <v>4817.4074074074078</v>
      </c>
      <c r="N39" s="330">
        <f>I39/H39</f>
        <v>0.22222222222222221</v>
      </c>
      <c r="O39" s="330">
        <f>SUM(I39:K39)/H39</f>
        <v>0.51851851851851849</v>
      </c>
      <c r="P39" s="56" t="s">
        <v>1976</v>
      </c>
      <c r="Q39" s="56" t="s">
        <v>344</v>
      </c>
      <c r="R39" s="58" t="s">
        <v>2388</v>
      </c>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BA39" s="141">
        <f t="shared" si="6"/>
        <v>1</v>
      </c>
      <c r="BC39" s="140" t="str">
        <f t="shared" si="7"/>
        <v/>
      </c>
      <c r="BD39" s="141" t="str">
        <f t="shared" si="8"/>
        <v/>
      </c>
    </row>
    <row r="40" spans="1:56" s="90" customFormat="1" ht="12" customHeight="1" x14ac:dyDescent="0.15">
      <c r="A40" s="58" t="s">
        <v>893</v>
      </c>
      <c r="B40" s="58" t="s">
        <v>111</v>
      </c>
      <c r="C40" s="58" t="s">
        <v>600</v>
      </c>
      <c r="D40" s="58" t="s">
        <v>601</v>
      </c>
      <c r="E40" s="58" t="s">
        <v>282</v>
      </c>
      <c r="F40" s="137">
        <v>38787</v>
      </c>
      <c r="G40" s="138">
        <v>325000</v>
      </c>
      <c r="H40" s="139">
        <v>3</v>
      </c>
      <c r="I40" s="139">
        <v>1</v>
      </c>
      <c r="J40" s="139">
        <v>1</v>
      </c>
      <c r="K40" s="139">
        <v>0</v>
      </c>
      <c r="L40" s="191">
        <v>137200</v>
      </c>
      <c r="M40" s="191">
        <f t="shared" si="3"/>
        <v>45733.333333333336</v>
      </c>
      <c r="N40" s="330">
        <f t="shared" si="4"/>
        <v>0.33333333333333331</v>
      </c>
      <c r="O40" s="330">
        <f t="shared" si="5"/>
        <v>0.66666666666666663</v>
      </c>
      <c r="P40" s="56" t="s">
        <v>1601</v>
      </c>
      <c r="Q40" s="56"/>
      <c r="R40" s="58" t="s">
        <v>3387</v>
      </c>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140"/>
      <c r="BA40" s="150">
        <f t="shared" si="6"/>
        <v>1</v>
      </c>
      <c r="BC40" s="90" t="str">
        <f t="shared" si="7"/>
        <v/>
      </c>
      <c r="BD40" s="141" t="str">
        <f t="shared" si="8"/>
        <v/>
      </c>
    </row>
    <row r="41" spans="1:56" s="140" customFormat="1" ht="12" customHeight="1" x14ac:dyDescent="0.15">
      <c r="A41" s="58" t="s">
        <v>438</v>
      </c>
      <c r="B41" s="58" t="s">
        <v>969</v>
      </c>
      <c r="C41" s="58" t="s">
        <v>561</v>
      </c>
      <c r="D41" s="58" t="s">
        <v>976</v>
      </c>
      <c r="E41" s="58" t="s">
        <v>285</v>
      </c>
      <c r="F41" s="137">
        <v>38757</v>
      </c>
      <c r="G41" s="138">
        <v>240000</v>
      </c>
      <c r="H41" s="139">
        <v>41</v>
      </c>
      <c r="I41" s="139">
        <v>13</v>
      </c>
      <c r="J41" s="139">
        <v>4</v>
      </c>
      <c r="K41" s="139">
        <v>6</v>
      </c>
      <c r="L41" s="191">
        <f>82558+852+1400+3069+2812+471+195+7800+539+112+72+72+3393+4712+892+4931+5533+16870</f>
        <v>136283</v>
      </c>
      <c r="M41" s="191">
        <f>L41/H41</f>
        <v>3323.9756097560976</v>
      </c>
      <c r="N41" s="330">
        <f>I41/H41</f>
        <v>0.31707317073170732</v>
      </c>
      <c r="O41" s="330">
        <f>SUM(I41:K41)/H41</f>
        <v>0.56097560975609762</v>
      </c>
      <c r="P41" s="56" t="s">
        <v>2075</v>
      </c>
      <c r="Q41" s="56"/>
      <c r="R41" s="58" t="s">
        <v>1914</v>
      </c>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BA41" s="141">
        <f>IF(I41="","",IF(I41&gt;0,1,0))</f>
        <v>1</v>
      </c>
      <c r="BC41" s="140" t="str">
        <f>IF(G41="","",IF(L41="unraced","",IF(G41&lt;L41,"XX","")))</f>
        <v/>
      </c>
      <c r="BD41" s="141" t="str">
        <f>IF(BC41="","",L41-G41)</f>
        <v/>
      </c>
    </row>
    <row r="42" spans="1:56" s="140" customFormat="1" ht="12" customHeight="1" x14ac:dyDescent="0.15">
      <c r="A42" s="58" t="s">
        <v>1132</v>
      </c>
      <c r="B42" s="58" t="s">
        <v>114</v>
      </c>
      <c r="C42" s="58" t="s">
        <v>455</v>
      </c>
      <c r="D42" s="58" t="s">
        <v>835</v>
      </c>
      <c r="E42" s="58" t="s">
        <v>100</v>
      </c>
      <c r="F42" s="137">
        <v>38781</v>
      </c>
      <c r="G42" s="138">
        <v>110000</v>
      </c>
      <c r="H42" s="139">
        <v>23</v>
      </c>
      <c r="I42" s="139">
        <v>5</v>
      </c>
      <c r="J42" s="139">
        <v>1</v>
      </c>
      <c r="K42" s="139">
        <v>3</v>
      </c>
      <c r="L42" s="191">
        <v>141350</v>
      </c>
      <c r="M42" s="191">
        <f t="shared" si="3"/>
        <v>6145.652173913043</v>
      </c>
      <c r="N42" s="330">
        <f t="shared" si="4"/>
        <v>0.21739130434782608</v>
      </c>
      <c r="O42" s="330">
        <f t="shared" si="5"/>
        <v>0.39130434782608697</v>
      </c>
      <c r="P42" s="56" t="s">
        <v>1604</v>
      </c>
      <c r="Q42" s="56" t="s">
        <v>1625</v>
      </c>
      <c r="R42" s="58" t="s">
        <v>2389</v>
      </c>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61"/>
      <c r="BA42" s="141">
        <f t="shared" si="6"/>
        <v>1</v>
      </c>
      <c r="BC42" s="140" t="str">
        <f t="shared" si="7"/>
        <v>XX</v>
      </c>
      <c r="BD42" s="141">
        <f t="shared" si="8"/>
        <v>31350</v>
      </c>
    </row>
    <row r="43" spans="1:56" s="140" customFormat="1" ht="12" customHeight="1" x14ac:dyDescent="0.15">
      <c r="A43" s="58" t="s">
        <v>518</v>
      </c>
      <c r="B43" s="58" t="s">
        <v>112</v>
      </c>
      <c r="C43" s="58" t="s">
        <v>943</v>
      </c>
      <c r="D43" s="58" t="s">
        <v>824</v>
      </c>
      <c r="E43" s="58" t="s">
        <v>210</v>
      </c>
      <c r="F43" s="137">
        <v>38839</v>
      </c>
      <c r="G43" s="138"/>
      <c r="H43" s="139">
        <v>23</v>
      </c>
      <c r="I43" s="139">
        <v>9</v>
      </c>
      <c r="J43" s="139">
        <v>1</v>
      </c>
      <c r="K43" s="139">
        <v>3</v>
      </c>
      <c r="L43" s="191">
        <v>143260</v>
      </c>
      <c r="M43" s="191">
        <f>L43/H43</f>
        <v>6228.695652173913</v>
      </c>
      <c r="N43" s="330">
        <f>I43/H43</f>
        <v>0.39130434782608697</v>
      </c>
      <c r="O43" s="330">
        <f>SUM(I43:K43)/H43</f>
        <v>0.56521739130434778</v>
      </c>
      <c r="P43" s="56" t="s">
        <v>32</v>
      </c>
      <c r="Q43" s="56" t="s">
        <v>1269</v>
      </c>
      <c r="R43" s="58" t="s">
        <v>2358</v>
      </c>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BA43" s="141">
        <f t="shared" si="6"/>
        <v>1</v>
      </c>
      <c r="BC43" s="140" t="str">
        <f t="shared" si="7"/>
        <v/>
      </c>
      <c r="BD43" s="141" t="str">
        <f t="shared" si="8"/>
        <v/>
      </c>
    </row>
    <row r="44" spans="1:56" s="140" customFormat="1" ht="12" customHeight="1" x14ac:dyDescent="0.15">
      <c r="A44" s="58" t="s">
        <v>516</v>
      </c>
      <c r="B44" s="58" t="s">
        <v>1511</v>
      </c>
      <c r="C44" s="58" t="s">
        <v>1009</v>
      </c>
      <c r="D44" s="58" t="s">
        <v>873</v>
      </c>
      <c r="E44" s="58" t="s">
        <v>244</v>
      </c>
      <c r="F44" s="137">
        <v>38833</v>
      </c>
      <c r="G44" s="138"/>
      <c r="H44" s="139">
        <v>22</v>
      </c>
      <c r="I44" s="139">
        <v>3</v>
      </c>
      <c r="J44" s="139">
        <v>5</v>
      </c>
      <c r="K44" s="139">
        <v>3</v>
      </c>
      <c r="L44" s="191">
        <f>110919+7600+31200+3360</f>
        <v>153079</v>
      </c>
      <c r="M44" s="191">
        <f t="shared" si="3"/>
        <v>6958.136363636364</v>
      </c>
      <c r="N44" s="330">
        <f t="shared" si="4"/>
        <v>0.13636363636363635</v>
      </c>
      <c r="O44" s="330">
        <f t="shared" si="5"/>
        <v>0.5</v>
      </c>
      <c r="P44" s="56" t="s">
        <v>1689</v>
      </c>
      <c r="Q44" s="56"/>
      <c r="R44" s="58" t="s">
        <v>1981</v>
      </c>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BA44" s="141">
        <f t="shared" si="6"/>
        <v>1</v>
      </c>
      <c r="BC44" s="140" t="str">
        <f t="shared" si="7"/>
        <v/>
      </c>
      <c r="BD44" s="141" t="str">
        <f t="shared" si="8"/>
        <v/>
      </c>
    </row>
    <row r="45" spans="1:56" s="140" customFormat="1" ht="12" customHeight="1" x14ac:dyDescent="0.15">
      <c r="A45" s="58" t="s">
        <v>505</v>
      </c>
      <c r="B45" s="58" t="s">
        <v>113</v>
      </c>
      <c r="C45" s="58" t="s">
        <v>609</v>
      </c>
      <c r="D45" s="58" t="s">
        <v>610</v>
      </c>
      <c r="E45" s="58" t="s">
        <v>1261</v>
      </c>
      <c r="F45" s="137">
        <v>38823</v>
      </c>
      <c r="G45" s="138"/>
      <c r="H45" s="139">
        <v>18</v>
      </c>
      <c r="I45" s="139">
        <v>7</v>
      </c>
      <c r="J45" s="139">
        <v>2</v>
      </c>
      <c r="K45" s="139">
        <v>4</v>
      </c>
      <c r="L45" s="191">
        <v>170240</v>
      </c>
      <c r="M45" s="191">
        <f t="shared" si="3"/>
        <v>9457.7777777777774</v>
      </c>
      <c r="N45" s="330">
        <f t="shared" si="4"/>
        <v>0.3888888888888889</v>
      </c>
      <c r="O45" s="330">
        <f t="shared" si="5"/>
        <v>0.72222222222222221</v>
      </c>
      <c r="P45" s="56" t="s">
        <v>1689</v>
      </c>
      <c r="Q45" s="56"/>
      <c r="R45" s="58" t="s">
        <v>2367</v>
      </c>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BA45" s="141">
        <f t="shared" si="6"/>
        <v>1</v>
      </c>
      <c r="BC45" s="140" t="str">
        <f t="shared" si="7"/>
        <v/>
      </c>
      <c r="BD45" s="141" t="str">
        <f t="shared" si="8"/>
        <v/>
      </c>
    </row>
    <row r="46" spans="1:56" s="140" customFormat="1" ht="12" customHeight="1" x14ac:dyDescent="0.15">
      <c r="A46" s="58" t="s">
        <v>831</v>
      </c>
      <c r="B46" s="58" t="s">
        <v>713</v>
      </c>
      <c r="C46" s="58" t="s">
        <v>529</v>
      </c>
      <c r="D46" s="58" t="s">
        <v>460</v>
      </c>
      <c r="E46" s="58" t="s">
        <v>258</v>
      </c>
      <c r="F46" s="137">
        <v>38807</v>
      </c>
      <c r="G46" s="138"/>
      <c r="H46" s="139">
        <v>100</v>
      </c>
      <c r="I46" s="139">
        <v>15</v>
      </c>
      <c r="J46" s="139">
        <v>10</v>
      </c>
      <c r="K46" s="139">
        <v>14</v>
      </c>
      <c r="L46" s="191">
        <f>144268+6060+1111+4141+102+103+960+480+10800+960+250+250+480+250</f>
        <v>170215</v>
      </c>
      <c r="M46" s="191">
        <f>L46/H46</f>
        <v>1702.15</v>
      </c>
      <c r="N46" s="330">
        <f>I46/H46</f>
        <v>0.15</v>
      </c>
      <c r="O46" s="330">
        <f>SUM(I46:K46)/H46</f>
        <v>0.39</v>
      </c>
      <c r="P46" s="56" t="s">
        <v>3172</v>
      </c>
      <c r="Q46" s="56"/>
      <c r="R46" s="58" t="s">
        <v>3173</v>
      </c>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BA46" s="141">
        <f>IF(I46="","",IF(I46&gt;0,1,0))</f>
        <v>1</v>
      </c>
      <c r="BC46" s="140" t="str">
        <f>IF(G46="","",IF(L46="unraced","",IF(G46&lt;L46,"XX","")))</f>
        <v/>
      </c>
      <c r="BD46" s="141" t="str">
        <f>IF(BC46="","",L46-G46)</f>
        <v/>
      </c>
    </row>
    <row r="47" spans="1:56" s="90" customFormat="1" ht="12" customHeight="1" x14ac:dyDescent="0.15">
      <c r="A47" s="58" t="s">
        <v>517</v>
      </c>
      <c r="B47" s="58" t="s">
        <v>113</v>
      </c>
      <c r="C47" s="58" t="s">
        <v>975</v>
      </c>
      <c r="D47" s="58" t="s">
        <v>940</v>
      </c>
      <c r="E47" s="58" t="s">
        <v>240</v>
      </c>
      <c r="F47" s="137">
        <v>38749</v>
      </c>
      <c r="G47" s="138"/>
      <c r="H47" s="139">
        <v>14</v>
      </c>
      <c r="I47" s="139">
        <v>5</v>
      </c>
      <c r="J47" s="139">
        <v>1</v>
      </c>
      <c r="K47" s="139">
        <v>2</v>
      </c>
      <c r="L47" s="191">
        <f>181992</f>
        <v>181992</v>
      </c>
      <c r="M47" s="191">
        <f t="shared" si="3"/>
        <v>12999.428571428571</v>
      </c>
      <c r="N47" s="330">
        <f t="shared" si="4"/>
        <v>0.35714285714285715</v>
      </c>
      <c r="O47" s="330">
        <f t="shared" si="5"/>
        <v>0.5714285714285714</v>
      </c>
      <c r="P47" s="56" t="s">
        <v>1604</v>
      </c>
      <c r="Q47" s="56" t="s">
        <v>1313</v>
      </c>
      <c r="R47" s="58" t="s">
        <v>3384</v>
      </c>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BA47" s="150">
        <f t="shared" si="6"/>
        <v>1</v>
      </c>
      <c r="BC47" s="90" t="str">
        <f t="shared" si="7"/>
        <v/>
      </c>
      <c r="BD47" s="141" t="str">
        <f t="shared" si="8"/>
        <v/>
      </c>
    </row>
    <row r="48" spans="1:56" s="140" customFormat="1" ht="12" customHeight="1" x14ac:dyDescent="0.15">
      <c r="A48" s="58" t="s">
        <v>773</v>
      </c>
      <c r="B48" s="58" t="s">
        <v>347</v>
      </c>
      <c r="C48" s="58" t="s">
        <v>706</v>
      </c>
      <c r="D48" s="58" t="s">
        <v>725</v>
      </c>
      <c r="E48" s="58" t="s">
        <v>209</v>
      </c>
      <c r="F48" s="137">
        <v>38809</v>
      </c>
      <c r="G48" s="138"/>
      <c r="H48" s="139">
        <v>30</v>
      </c>
      <c r="I48" s="139">
        <v>13</v>
      </c>
      <c r="J48" s="139">
        <v>5</v>
      </c>
      <c r="K48" s="139">
        <v>3</v>
      </c>
      <c r="L48" s="191">
        <f>189105+650</f>
        <v>189755</v>
      </c>
      <c r="M48" s="191">
        <f t="shared" ref="M48:M70" si="9">L48/H48</f>
        <v>6325.166666666667</v>
      </c>
      <c r="N48" s="330">
        <f t="shared" ref="N48:N70" si="10">I48/H48</f>
        <v>0.43333333333333335</v>
      </c>
      <c r="O48" s="330">
        <f t="shared" ref="O48:O70" si="11">SUM(I48:K48)/H48</f>
        <v>0.7</v>
      </c>
      <c r="P48" s="193" t="s">
        <v>1976</v>
      </c>
      <c r="Q48" s="56"/>
      <c r="R48" s="58" t="s">
        <v>473</v>
      </c>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61"/>
      <c r="BA48" s="141">
        <f t="shared" si="6"/>
        <v>1</v>
      </c>
      <c r="BC48" s="140" t="str">
        <f t="shared" si="7"/>
        <v/>
      </c>
      <c r="BD48" s="141" t="str">
        <f t="shared" si="8"/>
        <v/>
      </c>
    </row>
    <row r="49" spans="1:56" s="140" customFormat="1" ht="12" customHeight="1" x14ac:dyDescent="0.15">
      <c r="A49" s="58" t="s">
        <v>306</v>
      </c>
      <c r="B49" s="58" t="s">
        <v>111</v>
      </c>
      <c r="C49" s="58" t="s">
        <v>855</v>
      </c>
      <c r="D49" s="58" t="s">
        <v>813</v>
      </c>
      <c r="E49" s="58" t="s">
        <v>255</v>
      </c>
      <c r="F49" s="137">
        <v>38939</v>
      </c>
      <c r="G49" s="138">
        <v>231840</v>
      </c>
      <c r="H49" s="139">
        <v>19</v>
      </c>
      <c r="I49" s="139">
        <v>6</v>
      </c>
      <c r="J49" s="139">
        <v>1</v>
      </c>
      <c r="K49" s="139">
        <v>3</v>
      </c>
      <c r="L49" s="191">
        <v>190468</v>
      </c>
      <c r="M49" s="191">
        <f t="shared" si="9"/>
        <v>10024.631578947368</v>
      </c>
      <c r="N49" s="330">
        <f t="shared" si="10"/>
        <v>0.31578947368421051</v>
      </c>
      <c r="O49" s="330">
        <f t="shared" si="11"/>
        <v>0.52631578947368418</v>
      </c>
      <c r="P49" s="56" t="s">
        <v>1689</v>
      </c>
      <c r="Q49" s="56"/>
      <c r="R49" s="58" t="s">
        <v>2063</v>
      </c>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BA49" s="141">
        <f t="shared" si="6"/>
        <v>1</v>
      </c>
      <c r="BC49" s="140" t="str">
        <f t="shared" si="7"/>
        <v/>
      </c>
      <c r="BD49" s="141" t="str">
        <f t="shared" si="8"/>
        <v/>
      </c>
    </row>
    <row r="50" spans="1:56" s="140" customFormat="1" ht="12" customHeight="1" x14ac:dyDescent="0.15">
      <c r="A50" s="58" t="s">
        <v>1219</v>
      </c>
      <c r="B50" s="58" t="s">
        <v>1658</v>
      </c>
      <c r="C50" s="58" t="s">
        <v>902</v>
      </c>
      <c r="D50" s="58" t="s">
        <v>352</v>
      </c>
      <c r="E50" s="58" t="s">
        <v>1228</v>
      </c>
      <c r="F50" s="137">
        <v>38778</v>
      </c>
      <c r="G50" s="138">
        <v>100000</v>
      </c>
      <c r="H50" s="139">
        <v>10</v>
      </c>
      <c r="I50" s="139">
        <v>4</v>
      </c>
      <c r="J50" s="139">
        <v>4</v>
      </c>
      <c r="K50" s="139">
        <v>0</v>
      </c>
      <c r="L50" s="191">
        <f>21600+22800+5000+9800+26400+15600+50000+12600+60000</f>
        <v>223800</v>
      </c>
      <c r="M50" s="191">
        <f t="shared" si="9"/>
        <v>22380</v>
      </c>
      <c r="N50" s="330">
        <f t="shared" si="10"/>
        <v>0.4</v>
      </c>
      <c r="O50" s="330">
        <f t="shared" si="11"/>
        <v>0.8</v>
      </c>
      <c r="P50" s="56" t="s">
        <v>1593</v>
      </c>
      <c r="Q50" s="56"/>
      <c r="R50" s="58" t="s">
        <v>52</v>
      </c>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BA50" s="141">
        <f t="shared" si="6"/>
        <v>1</v>
      </c>
      <c r="BC50" s="140" t="str">
        <f t="shared" si="7"/>
        <v>XX</v>
      </c>
      <c r="BD50" s="141">
        <f t="shared" si="8"/>
        <v>123800</v>
      </c>
    </row>
    <row r="51" spans="1:56" s="140" customFormat="1" ht="12" customHeight="1" x14ac:dyDescent="0.15">
      <c r="A51" s="58" t="s">
        <v>830</v>
      </c>
      <c r="B51" s="58" t="s">
        <v>713</v>
      </c>
      <c r="C51" s="58" t="s">
        <v>658</v>
      </c>
      <c r="D51" s="58" t="s">
        <v>715</v>
      </c>
      <c r="E51" s="58" t="s">
        <v>311</v>
      </c>
      <c r="F51" s="137">
        <v>38762</v>
      </c>
      <c r="G51" s="138">
        <v>170000</v>
      </c>
      <c r="H51" s="139">
        <v>23</v>
      </c>
      <c r="I51" s="139">
        <v>11</v>
      </c>
      <c r="J51" s="139">
        <v>6</v>
      </c>
      <c r="K51" s="139">
        <v>4</v>
      </c>
      <c r="L51" s="191">
        <f>7200+21600+22200+24000+15000+1650+10200+3400+9690+6400+18000+9690+6000+9600+1455+3200+4620+2420+12540+19200+10000+1210+8550</f>
        <v>227825</v>
      </c>
      <c r="M51" s="191">
        <f>L51/H51</f>
        <v>9905.434782608696</v>
      </c>
      <c r="N51" s="330">
        <f>I51/H51</f>
        <v>0.47826086956521741</v>
      </c>
      <c r="O51" s="330">
        <f>SUM(I51:K51)/H51</f>
        <v>0.91304347826086951</v>
      </c>
      <c r="P51" s="56" t="s">
        <v>2282</v>
      </c>
      <c r="Q51" s="56"/>
      <c r="R51" s="58" t="s">
        <v>4132</v>
      </c>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BA51" s="141">
        <f>IF(I51="","",IF(I51&gt;0,1,0))</f>
        <v>1</v>
      </c>
      <c r="BC51" s="140" t="str">
        <f>IF(G51="","",IF(L51="unraced","",IF(G51&lt;L51,"XX","")))</f>
        <v>XX</v>
      </c>
      <c r="BD51" s="141">
        <f>IF(BC51="","",L51-G51)</f>
        <v>57825</v>
      </c>
    </row>
    <row r="52" spans="1:56" s="140" customFormat="1" ht="12" customHeight="1" x14ac:dyDescent="0.15">
      <c r="A52" s="58" t="s">
        <v>984</v>
      </c>
      <c r="B52" s="58" t="s">
        <v>1159</v>
      </c>
      <c r="C52" s="58" t="s">
        <v>535</v>
      </c>
      <c r="D52" s="58" t="s">
        <v>459</v>
      </c>
      <c r="E52" s="58" t="s">
        <v>300</v>
      </c>
      <c r="F52" s="137">
        <v>38761</v>
      </c>
      <c r="G52" s="138">
        <v>600000</v>
      </c>
      <c r="H52" s="139">
        <v>47</v>
      </c>
      <c r="I52" s="139">
        <v>14</v>
      </c>
      <c r="J52" s="139">
        <v>7</v>
      </c>
      <c r="K52" s="139">
        <v>7</v>
      </c>
      <c r="L52" s="191">
        <f>241874+1000+54+200+71+710</f>
        <v>243909</v>
      </c>
      <c r="M52" s="191">
        <f>L52/H52</f>
        <v>5189.5531914893618</v>
      </c>
      <c r="N52" s="330">
        <f>I52/H52</f>
        <v>0.2978723404255319</v>
      </c>
      <c r="O52" s="330">
        <f>SUM(I52:K52)/H52</f>
        <v>0.5957446808510638</v>
      </c>
      <c r="P52" s="56" t="s">
        <v>4128</v>
      </c>
      <c r="Q52" s="56"/>
      <c r="R52" s="58" t="s">
        <v>4129</v>
      </c>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BA52" s="141">
        <f>IF(I52="","",IF(I52&gt;0,1,0))</f>
        <v>1</v>
      </c>
      <c r="BC52" s="140" t="str">
        <f>IF(G52="","",IF(L52="unraced","",IF(G52&lt;L52,"XX","")))</f>
        <v/>
      </c>
      <c r="BD52" s="141" t="str">
        <f>IF(BC52="","",L52-G52)</f>
        <v/>
      </c>
    </row>
    <row r="53" spans="1:56" s="140" customFormat="1" ht="12" customHeight="1" x14ac:dyDescent="0.15">
      <c r="A53" s="58" t="s">
        <v>892</v>
      </c>
      <c r="B53" s="58" t="s">
        <v>713</v>
      </c>
      <c r="C53" s="58" t="s">
        <v>456</v>
      </c>
      <c r="D53" s="58" t="s">
        <v>824</v>
      </c>
      <c r="E53" s="58" t="s">
        <v>279</v>
      </c>
      <c r="F53" s="137">
        <v>38773</v>
      </c>
      <c r="G53" s="138"/>
      <c r="H53" s="139">
        <v>32</v>
      </c>
      <c r="I53" s="139">
        <v>8</v>
      </c>
      <c r="J53" s="139">
        <v>8</v>
      </c>
      <c r="K53" s="139">
        <v>5</v>
      </c>
      <c r="L53" s="191">
        <f>241704+2500+15000+10980</f>
        <v>270184</v>
      </c>
      <c r="M53" s="191">
        <f t="shared" si="9"/>
        <v>8443.25</v>
      </c>
      <c r="N53" s="330">
        <f t="shared" si="10"/>
        <v>0.25</v>
      </c>
      <c r="O53" s="330">
        <f t="shared" si="11"/>
        <v>0.65625</v>
      </c>
      <c r="P53" s="56" t="s">
        <v>1593</v>
      </c>
      <c r="Q53" s="56"/>
      <c r="R53" s="58" t="s">
        <v>1762</v>
      </c>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BA53" s="141">
        <f t="shared" si="6"/>
        <v>1</v>
      </c>
      <c r="BC53" s="140" t="str">
        <f t="shared" si="7"/>
        <v/>
      </c>
      <c r="BD53" s="141" t="str">
        <f t="shared" si="8"/>
        <v/>
      </c>
    </row>
    <row r="54" spans="1:56" s="140" customFormat="1" ht="12" customHeight="1" x14ac:dyDescent="0.15">
      <c r="A54" s="58" t="s">
        <v>772</v>
      </c>
      <c r="B54" s="58" t="s">
        <v>1504</v>
      </c>
      <c r="C54" s="58" t="s">
        <v>786</v>
      </c>
      <c r="D54" s="58" t="s">
        <v>459</v>
      </c>
      <c r="E54" s="58" t="s">
        <v>267</v>
      </c>
      <c r="F54" s="137">
        <v>38820</v>
      </c>
      <c r="G54" s="138">
        <v>560512</v>
      </c>
      <c r="H54" s="139">
        <v>16</v>
      </c>
      <c r="I54" s="139">
        <v>2</v>
      </c>
      <c r="J54" s="139">
        <v>1</v>
      </c>
      <c r="K54" s="139">
        <v>1</v>
      </c>
      <c r="L54" s="191">
        <v>302295</v>
      </c>
      <c r="M54" s="191">
        <f>L54/H54</f>
        <v>18893.4375</v>
      </c>
      <c r="N54" s="330">
        <f>I54/H54</f>
        <v>0.125</v>
      </c>
      <c r="O54" s="330">
        <f>SUM(I54:K54)/H54</f>
        <v>0.25</v>
      </c>
      <c r="P54" s="330" t="s">
        <v>1604</v>
      </c>
      <c r="Q54" s="56" t="s">
        <v>1321</v>
      </c>
      <c r="R54" s="58" t="s">
        <v>2465</v>
      </c>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BA54" s="141">
        <f>IF(I54="","",IF(I54&gt;0,1,0))</f>
        <v>1</v>
      </c>
      <c r="BC54" s="140" t="str">
        <f>IF(G54="","",IF(L54="unraced","",IF(G54&lt;L54,"XX","")))</f>
        <v/>
      </c>
      <c r="BD54" s="141" t="str">
        <f>IF(BC54="","",L54-G54)</f>
        <v/>
      </c>
    </row>
    <row r="55" spans="1:56" s="140" customFormat="1" ht="12" customHeight="1" x14ac:dyDescent="0.15">
      <c r="A55" s="58" t="s">
        <v>760</v>
      </c>
      <c r="B55" s="58" t="s">
        <v>1503</v>
      </c>
      <c r="C55" s="58" t="s">
        <v>463</v>
      </c>
      <c r="D55" s="58" t="s">
        <v>610</v>
      </c>
      <c r="E55" s="58" t="s">
        <v>268</v>
      </c>
      <c r="F55" s="137">
        <v>38762</v>
      </c>
      <c r="G55" s="138">
        <v>350000</v>
      </c>
      <c r="H55" s="139">
        <v>18</v>
      </c>
      <c r="I55" s="139">
        <v>3</v>
      </c>
      <c r="J55" s="139">
        <v>4</v>
      </c>
      <c r="K55" s="139">
        <v>3</v>
      </c>
      <c r="L55" s="191">
        <f>137393+21025+80327+36049+90780+43762</f>
        <v>409336</v>
      </c>
      <c r="M55" s="191">
        <f>L55/H55</f>
        <v>22740.888888888891</v>
      </c>
      <c r="N55" s="330">
        <f>I55/H55</f>
        <v>0.16666666666666666</v>
      </c>
      <c r="O55" s="330">
        <f>SUM(I55:K55)/H55</f>
        <v>0.55555555555555558</v>
      </c>
      <c r="P55" s="56" t="s">
        <v>1689</v>
      </c>
      <c r="Q55" s="56" t="s">
        <v>1321</v>
      </c>
      <c r="R55" s="58" t="s">
        <v>3284</v>
      </c>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BA55" s="141">
        <f>IF(I55="","",IF(I55&gt;0,1,0))</f>
        <v>1</v>
      </c>
      <c r="BC55" s="140" t="str">
        <f>IF(G55="","",IF(L55="unraced","",IF(G55&lt;L55,"XX","")))</f>
        <v>XX</v>
      </c>
      <c r="BD55" s="141">
        <f>IF(BC55="","",L55-G55)</f>
        <v>59336</v>
      </c>
    </row>
    <row r="56" spans="1:56" s="140" customFormat="1" ht="12" customHeight="1" x14ac:dyDescent="0.15">
      <c r="A56" s="58" t="s">
        <v>766</v>
      </c>
      <c r="B56" s="58" t="s">
        <v>116</v>
      </c>
      <c r="C56" s="58" t="s">
        <v>679</v>
      </c>
      <c r="D56" s="58" t="s">
        <v>843</v>
      </c>
      <c r="E56" s="58" t="s">
        <v>1464</v>
      </c>
      <c r="F56" s="137">
        <v>38834</v>
      </c>
      <c r="G56" s="138"/>
      <c r="H56" s="139">
        <v>18</v>
      </c>
      <c r="I56" s="139">
        <v>9</v>
      </c>
      <c r="J56" s="139">
        <v>1</v>
      </c>
      <c r="K56" s="139">
        <v>2</v>
      </c>
      <c r="L56" s="191">
        <f>2686617</f>
        <v>2686617</v>
      </c>
      <c r="M56" s="191">
        <f t="shared" si="9"/>
        <v>149256.5</v>
      </c>
      <c r="N56" s="330">
        <f t="shared" si="10"/>
        <v>0.5</v>
      </c>
      <c r="O56" s="330">
        <f t="shared" si="11"/>
        <v>0.66666666666666663</v>
      </c>
      <c r="P56" s="56" t="s">
        <v>1604</v>
      </c>
      <c r="Q56" s="56" t="s">
        <v>1321</v>
      </c>
      <c r="R56" s="58" t="s">
        <v>5706</v>
      </c>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BA56" s="141">
        <f t="shared" si="6"/>
        <v>1</v>
      </c>
      <c r="BC56" s="140" t="str">
        <f t="shared" si="7"/>
        <v/>
      </c>
      <c r="BD56" s="141" t="str">
        <f t="shared" si="8"/>
        <v/>
      </c>
    </row>
    <row r="57" spans="1:56" s="140" customFormat="1" ht="12" customHeight="1" x14ac:dyDescent="0.15">
      <c r="A57" s="142" t="s">
        <v>935</v>
      </c>
      <c r="B57" s="142" t="s">
        <v>111</v>
      </c>
      <c r="C57" s="142" t="s">
        <v>618</v>
      </c>
      <c r="D57" s="142" t="s">
        <v>957</v>
      </c>
      <c r="E57" s="142" t="s">
        <v>1276</v>
      </c>
      <c r="F57" s="143">
        <v>38770</v>
      </c>
      <c r="G57" s="144">
        <v>29000</v>
      </c>
      <c r="H57" s="145">
        <v>2</v>
      </c>
      <c r="I57" s="145">
        <v>0</v>
      </c>
      <c r="J57" s="145">
        <v>0</v>
      </c>
      <c r="K57" s="145">
        <v>0</v>
      </c>
      <c r="L57" s="194">
        <v>0</v>
      </c>
      <c r="M57" s="194">
        <f t="shared" si="9"/>
        <v>0</v>
      </c>
      <c r="N57" s="331">
        <f t="shared" si="10"/>
        <v>0</v>
      </c>
      <c r="O57" s="331">
        <f t="shared" si="11"/>
        <v>0</v>
      </c>
      <c r="P57" s="147" t="s">
        <v>1608</v>
      </c>
      <c r="Q57" s="147"/>
      <c r="R57" s="142" t="s">
        <v>1963</v>
      </c>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90"/>
      <c r="BA57" s="141">
        <f t="shared" si="6"/>
        <v>0</v>
      </c>
      <c r="BC57" s="140" t="str">
        <f t="shared" si="7"/>
        <v/>
      </c>
      <c r="BD57" s="141" t="str">
        <f t="shared" si="8"/>
        <v/>
      </c>
    </row>
    <row r="58" spans="1:56" s="90" customFormat="1" ht="12" customHeight="1" x14ac:dyDescent="0.15">
      <c r="A58" s="142" t="s">
        <v>1227</v>
      </c>
      <c r="B58" s="142" t="s">
        <v>1511</v>
      </c>
      <c r="C58" s="142" t="s">
        <v>872</v>
      </c>
      <c r="D58" s="142" t="s">
        <v>792</v>
      </c>
      <c r="E58" s="142" t="s">
        <v>184</v>
      </c>
      <c r="F58" s="143">
        <v>38769</v>
      </c>
      <c r="G58" s="144"/>
      <c r="H58" s="145">
        <v>1</v>
      </c>
      <c r="I58" s="145">
        <v>0</v>
      </c>
      <c r="J58" s="145">
        <v>0</v>
      </c>
      <c r="K58" s="145">
        <v>1</v>
      </c>
      <c r="L58" s="194">
        <v>900</v>
      </c>
      <c r="M58" s="194">
        <f t="shared" si="9"/>
        <v>900</v>
      </c>
      <c r="N58" s="331">
        <f t="shared" si="10"/>
        <v>0</v>
      </c>
      <c r="O58" s="331">
        <f t="shared" si="11"/>
        <v>1</v>
      </c>
      <c r="P58" s="147" t="s">
        <v>1601</v>
      </c>
      <c r="Q58" s="147"/>
      <c r="R58" s="142" t="s">
        <v>2222</v>
      </c>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86"/>
      <c r="BA58" s="150">
        <f t="shared" si="6"/>
        <v>0</v>
      </c>
      <c r="BC58" s="90" t="str">
        <f t="shared" si="7"/>
        <v/>
      </c>
      <c r="BD58" s="141" t="str">
        <f t="shared" si="8"/>
        <v/>
      </c>
    </row>
    <row r="59" spans="1:56" s="140" customFormat="1" ht="12" customHeight="1" x14ac:dyDescent="0.15">
      <c r="A59" s="142" t="s">
        <v>705</v>
      </c>
      <c r="B59" s="142" t="s">
        <v>94</v>
      </c>
      <c r="C59" s="142" t="s">
        <v>869</v>
      </c>
      <c r="D59" s="142" t="s">
        <v>655</v>
      </c>
      <c r="E59" s="142" t="s">
        <v>261</v>
      </c>
      <c r="F59" s="143">
        <v>38774</v>
      </c>
      <c r="G59" s="144">
        <v>13000</v>
      </c>
      <c r="H59" s="145">
        <v>3</v>
      </c>
      <c r="I59" s="145">
        <v>0</v>
      </c>
      <c r="J59" s="145">
        <v>0</v>
      </c>
      <c r="K59" s="145">
        <v>0</v>
      </c>
      <c r="L59" s="194">
        <v>1000</v>
      </c>
      <c r="M59" s="194">
        <f t="shared" si="9"/>
        <v>333.33333333333331</v>
      </c>
      <c r="N59" s="331">
        <f t="shared" si="10"/>
        <v>0</v>
      </c>
      <c r="O59" s="331">
        <f t="shared" si="11"/>
        <v>0</v>
      </c>
      <c r="P59" s="147" t="s">
        <v>1603</v>
      </c>
      <c r="Q59" s="147" t="s">
        <v>1618</v>
      </c>
      <c r="R59" s="142" t="s">
        <v>3648</v>
      </c>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90"/>
      <c r="BA59" s="141">
        <f t="shared" si="6"/>
        <v>0</v>
      </c>
      <c r="BC59" s="140" t="str">
        <f t="shared" si="7"/>
        <v/>
      </c>
      <c r="BD59" s="141" t="str">
        <f t="shared" si="8"/>
        <v/>
      </c>
    </row>
    <row r="60" spans="1:56" s="90" customFormat="1" ht="12" customHeight="1" x14ac:dyDescent="0.15">
      <c r="A60" s="142" t="s">
        <v>614</v>
      </c>
      <c r="B60" s="142" t="s">
        <v>111</v>
      </c>
      <c r="C60" s="142" t="s">
        <v>594</v>
      </c>
      <c r="D60" s="142" t="s">
        <v>608</v>
      </c>
      <c r="E60" s="142" t="s">
        <v>313</v>
      </c>
      <c r="F60" s="143">
        <v>38816</v>
      </c>
      <c r="G60" s="144">
        <v>250000</v>
      </c>
      <c r="H60" s="145">
        <v>6</v>
      </c>
      <c r="I60" s="145">
        <v>0</v>
      </c>
      <c r="J60" s="145">
        <v>0</v>
      </c>
      <c r="K60" s="145">
        <v>0</v>
      </c>
      <c r="L60" s="194">
        <v>1034</v>
      </c>
      <c r="M60" s="194">
        <f t="shared" si="9"/>
        <v>172.33333333333334</v>
      </c>
      <c r="N60" s="331">
        <f t="shared" si="10"/>
        <v>0</v>
      </c>
      <c r="O60" s="331">
        <f t="shared" si="11"/>
        <v>0</v>
      </c>
      <c r="P60" s="147" t="s">
        <v>1608</v>
      </c>
      <c r="Q60" s="147" t="s">
        <v>1234</v>
      </c>
      <c r="R60" s="142" t="s">
        <v>1810</v>
      </c>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BA60" s="150">
        <f t="shared" si="6"/>
        <v>0</v>
      </c>
      <c r="BC60" s="90" t="str">
        <f t="shared" si="7"/>
        <v/>
      </c>
      <c r="BD60" s="141" t="str">
        <f t="shared" si="8"/>
        <v/>
      </c>
    </row>
    <row r="61" spans="1:56" s="59" customFormat="1" ht="12" customHeight="1" x14ac:dyDescent="0.15">
      <c r="A61" s="142" t="s">
        <v>693</v>
      </c>
      <c r="B61" s="142" t="s">
        <v>111</v>
      </c>
      <c r="C61" s="142" t="s">
        <v>798</v>
      </c>
      <c r="D61" s="142" t="s">
        <v>668</v>
      </c>
      <c r="E61" s="142" t="s">
        <v>234</v>
      </c>
      <c r="F61" s="143">
        <v>38775</v>
      </c>
      <c r="G61" s="144">
        <v>12000</v>
      </c>
      <c r="H61" s="145">
        <v>4</v>
      </c>
      <c r="I61" s="145">
        <v>0</v>
      </c>
      <c r="J61" s="145">
        <v>0</v>
      </c>
      <c r="K61" s="145">
        <v>0</v>
      </c>
      <c r="L61" s="194">
        <f>224+1250</f>
        <v>1474</v>
      </c>
      <c r="M61" s="194">
        <f>L61/H61</f>
        <v>368.5</v>
      </c>
      <c r="N61" s="331">
        <f>I61/H61</f>
        <v>0</v>
      </c>
      <c r="O61" s="331">
        <f>SUM(I61:K61)/H61</f>
        <v>0</v>
      </c>
      <c r="P61" s="147" t="s">
        <v>1601</v>
      </c>
      <c r="Q61" s="147" t="s">
        <v>1260</v>
      </c>
      <c r="R61" s="142" t="s">
        <v>5490</v>
      </c>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BA61" s="60">
        <f>IF(I61="","",IF(I61&gt;0,1,0))</f>
        <v>0</v>
      </c>
      <c r="BC61" s="59" t="str">
        <f>IF(G61="","",IF(L61="unraced","",IF(G61&lt;L61,"XX","")))</f>
        <v/>
      </c>
      <c r="BD61" s="141" t="str">
        <f>IF(BC61="","",L61-G61)</f>
        <v/>
      </c>
    </row>
    <row r="62" spans="1:56" s="140" customFormat="1" ht="12" customHeight="1" x14ac:dyDescent="0.15">
      <c r="A62" s="142" t="s">
        <v>743</v>
      </c>
      <c r="B62" s="142" t="s">
        <v>112</v>
      </c>
      <c r="C62" s="142" t="s">
        <v>496</v>
      </c>
      <c r="D62" s="142" t="s">
        <v>824</v>
      </c>
      <c r="E62" s="142" t="s">
        <v>231</v>
      </c>
      <c r="F62" s="143">
        <v>38783</v>
      </c>
      <c r="G62" s="144">
        <v>27000</v>
      </c>
      <c r="H62" s="145">
        <v>3</v>
      </c>
      <c r="I62" s="145">
        <v>0</v>
      </c>
      <c r="J62" s="145">
        <v>0</v>
      </c>
      <c r="K62" s="145">
        <v>0</v>
      </c>
      <c r="L62" s="194">
        <v>2108</v>
      </c>
      <c r="M62" s="194">
        <f t="shared" si="9"/>
        <v>702.66666666666663</v>
      </c>
      <c r="N62" s="331">
        <f t="shared" si="10"/>
        <v>0</v>
      </c>
      <c r="O62" s="331">
        <f t="shared" si="11"/>
        <v>0</v>
      </c>
      <c r="P62" s="147" t="s">
        <v>1601</v>
      </c>
      <c r="Q62" s="147"/>
      <c r="R62" s="142" t="s">
        <v>3466</v>
      </c>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90"/>
      <c r="BA62" s="141">
        <f t="shared" si="6"/>
        <v>0</v>
      </c>
      <c r="BC62" s="140" t="str">
        <f t="shared" si="7"/>
        <v/>
      </c>
      <c r="BD62" s="141" t="str">
        <f t="shared" si="8"/>
        <v/>
      </c>
    </row>
    <row r="63" spans="1:56" s="90" customFormat="1" ht="12" customHeight="1" x14ac:dyDescent="0.15">
      <c r="A63" s="142" t="s">
        <v>527</v>
      </c>
      <c r="B63" s="142" t="s">
        <v>111</v>
      </c>
      <c r="C63" s="142" t="s">
        <v>640</v>
      </c>
      <c r="D63" s="142" t="s">
        <v>477</v>
      </c>
      <c r="E63" s="142" t="s">
        <v>172</v>
      </c>
      <c r="F63" s="143">
        <v>38815</v>
      </c>
      <c r="G63" s="144">
        <v>150000</v>
      </c>
      <c r="H63" s="145">
        <v>2</v>
      </c>
      <c r="I63" s="145">
        <v>0</v>
      </c>
      <c r="J63" s="145">
        <v>0</v>
      </c>
      <c r="K63" s="145">
        <v>0</v>
      </c>
      <c r="L63" s="194">
        <v>2520</v>
      </c>
      <c r="M63" s="194">
        <f t="shared" si="9"/>
        <v>1260</v>
      </c>
      <c r="N63" s="331">
        <f t="shared" si="10"/>
        <v>0</v>
      </c>
      <c r="O63" s="331">
        <f t="shared" si="11"/>
        <v>0</v>
      </c>
      <c r="P63" s="147" t="s">
        <v>1603</v>
      </c>
      <c r="Q63" s="195"/>
      <c r="R63" s="142" t="s">
        <v>2223</v>
      </c>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BA63" s="150">
        <f t="shared" si="6"/>
        <v>0</v>
      </c>
      <c r="BC63" s="90" t="str">
        <f t="shared" si="7"/>
        <v/>
      </c>
      <c r="BD63" s="141" t="str">
        <f t="shared" si="8"/>
        <v/>
      </c>
    </row>
    <row r="64" spans="1:56" s="140" customFormat="1" ht="12" customHeight="1" x14ac:dyDescent="0.15">
      <c r="A64" s="142" t="s">
        <v>916</v>
      </c>
      <c r="B64" s="142" t="s">
        <v>713</v>
      </c>
      <c r="C64" s="142" t="s">
        <v>971</v>
      </c>
      <c r="D64" s="142" t="s">
        <v>1004</v>
      </c>
      <c r="E64" s="142" t="s">
        <v>249</v>
      </c>
      <c r="F64" s="143">
        <v>38841</v>
      </c>
      <c r="G64" s="144">
        <v>200000</v>
      </c>
      <c r="H64" s="145">
        <v>1</v>
      </c>
      <c r="I64" s="145">
        <v>0</v>
      </c>
      <c r="J64" s="145">
        <v>0</v>
      </c>
      <c r="K64" s="145">
        <v>0</v>
      </c>
      <c r="L64" s="194">
        <v>2520</v>
      </c>
      <c r="M64" s="194">
        <f t="shared" si="9"/>
        <v>2520</v>
      </c>
      <c r="N64" s="331">
        <f t="shared" si="10"/>
        <v>0</v>
      </c>
      <c r="O64" s="331">
        <f t="shared" si="11"/>
        <v>0</v>
      </c>
      <c r="P64" s="147" t="s">
        <v>1603</v>
      </c>
      <c r="Q64" s="195"/>
      <c r="R64" s="142" t="s">
        <v>1843</v>
      </c>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BA64" s="141">
        <f t="shared" si="6"/>
        <v>0</v>
      </c>
      <c r="BC64" s="140" t="str">
        <f t="shared" si="7"/>
        <v/>
      </c>
      <c r="BD64" s="141" t="str">
        <f t="shared" si="8"/>
        <v/>
      </c>
    </row>
    <row r="65" spans="1:58" s="140" customFormat="1" ht="12" customHeight="1" x14ac:dyDescent="0.15">
      <c r="A65" s="142" t="s">
        <v>1133</v>
      </c>
      <c r="B65" s="142" t="s">
        <v>713</v>
      </c>
      <c r="C65" s="142" t="s">
        <v>606</v>
      </c>
      <c r="D65" s="142" t="s">
        <v>718</v>
      </c>
      <c r="E65" s="142" t="s">
        <v>212</v>
      </c>
      <c r="F65" s="143">
        <v>38837</v>
      </c>
      <c r="G65" s="144">
        <v>230000</v>
      </c>
      <c r="H65" s="145">
        <v>2</v>
      </c>
      <c r="I65" s="145">
        <v>0</v>
      </c>
      <c r="J65" s="145">
        <v>0</v>
      </c>
      <c r="K65" s="145">
        <v>1</v>
      </c>
      <c r="L65" s="194">
        <f>2640+1440</f>
        <v>4080</v>
      </c>
      <c r="M65" s="194">
        <f t="shared" si="9"/>
        <v>2040</v>
      </c>
      <c r="N65" s="331">
        <f t="shared" si="10"/>
        <v>0</v>
      </c>
      <c r="O65" s="331">
        <f t="shared" si="11"/>
        <v>0.5</v>
      </c>
      <c r="P65" s="147" t="s">
        <v>1603</v>
      </c>
      <c r="Q65" s="147"/>
      <c r="R65" s="142" t="s">
        <v>1844</v>
      </c>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90"/>
      <c r="BA65" s="141">
        <f t="shared" si="6"/>
        <v>0</v>
      </c>
      <c r="BC65" s="140" t="str">
        <f t="shared" si="7"/>
        <v/>
      </c>
      <c r="BD65" s="141" t="str">
        <f t="shared" si="8"/>
        <v/>
      </c>
    </row>
    <row r="66" spans="1:58" s="90" customFormat="1" ht="12" customHeight="1" x14ac:dyDescent="0.15">
      <c r="A66" s="142" t="s">
        <v>536</v>
      </c>
      <c r="B66" s="142" t="s">
        <v>111</v>
      </c>
      <c r="C66" s="142" t="s">
        <v>657</v>
      </c>
      <c r="D66" s="142" t="s">
        <v>610</v>
      </c>
      <c r="E66" s="142" t="s">
        <v>239</v>
      </c>
      <c r="F66" s="143">
        <v>38779</v>
      </c>
      <c r="G66" s="144">
        <v>125000</v>
      </c>
      <c r="H66" s="145">
        <v>3</v>
      </c>
      <c r="I66" s="145">
        <v>0</v>
      </c>
      <c r="J66" s="145">
        <v>1</v>
      </c>
      <c r="K66" s="145">
        <v>0</v>
      </c>
      <c r="L66" s="194">
        <v>4800</v>
      </c>
      <c r="M66" s="194">
        <f t="shared" si="9"/>
        <v>1600</v>
      </c>
      <c r="N66" s="331">
        <f t="shared" si="10"/>
        <v>0</v>
      </c>
      <c r="O66" s="331">
        <f t="shared" si="11"/>
        <v>0.33333333333333331</v>
      </c>
      <c r="P66" s="147" t="s">
        <v>1593</v>
      </c>
      <c r="Q66" s="147"/>
      <c r="R66" s="142" t="s">
        <v>1669</v>
      </c>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BA66" s="150">
        <f t="shared" si="6"/>
        <v>0</v>
      </c>
      <c r="BC66" s="90" t="str">
        <f t="shared" si="7"/>
        <v/>
      </c>
      <c r="BD66" s="141" t="str">
        <f t="shared" si="8"/>
        <v/>
      </c>
    </row>
    <row r="67" spans="1:58" s="140" customFormat="1" ht="12" customHeight="1" x14ac:dyDescent="0.15">
      <c r="A67" s="142" t="s">
        <v>770</v>
      </c>
      <c r="B67" s="142" t="s">
        <v>112</v>
      </c>
      <c r="C67" s="142" t="s">
        <v>639</v>
      </c>
      <c r="D67" s="142" t="s">
        <v>459</v>
      </c>
      <c r="E67" s="142" t="s">
        <v>253</v>
      </c>
      <c r="F67" s="143">
        <v>38818</v>
      </c>
      <c r="G67" s="144">
        <v>55000</v>
      </c>
      <c r="H67" s="145">
        <v>9</v>
      </c>
      <c r="I67" s="145">
        <v>0</v>
      </c>
      <c r="J67" s="145">
        <v>2</v>
      </c>
      <c r="K67" s="145">
        <v>1</v>
      </c>
      <c r="L67" s="194">
        <f>2071+2145+603</f>
        <v>4819</v>
      </c>
      <c r="M67" s="194">
        <f t="shared" si="9"/>
        <v>535.44444444444446</v>
      </c>
      <c r="N67" s="331">
        <f t="shared" si="10"/>
        <v>0</v>
      </c>
      <c r="O67" s="331">
        <f t="shared" si="11"/>
        <v>0.33333333333333331</v>
      </c>
      <c r="P67" s="147" t="s">
        <v>1601</v>
      </c>
      <c r="Q67" s="147" t="s">
        <v>41</v>
      </c>
      <c r="R67" s="142" t="s">
        <v>1701</v>
      </c>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90"/>
      <c r="BA67" s="141">
        <f t="shared" ref="BA67:BA89" si="12">IF(I67="","",IF(I67&gt;0,1,0))</f>
        <v>0</v>
      </c>
      <c r="BC67" s="140" t="str">
        <f t="shared" ref="BC67:BC90" si="13">IF(G67="","",IF(L67="unraced","",IF(G67&lt;L67,"XX","")))</f>
        <v/>
      </c>
      <c r="BD67" s="141" t="str">
        <f t="shared" ref="BD67:BD89" si="14">IF(BC67="","",L67-G67)</f>
        <v/>
      </c>
    </row>
    <row r="68" spans="1:58" s="140" customFormat="1" ht="12" customHeight="1" x14ac:dyDescent="0.15">
      <c r="A68" s="142" t="s">
        <v>730</v>
      </c>
      <c r="B68" s="142" t="s">
        <v>1511</v>
      </c>
      <c r="C68" s="142" t="s">
        <v>596</v>
      </c>
      <c r="D68" s="142" t="s">
        <v>486</v>
      </c>
      <c r="E68" s="142" t="s">
        <v>237</v>
      </c>
      <c r="F68" s="143">
        <v>38735</v>
      </c>
      <c r="G68" s="144"/>
      <c r="H68" s="145">
        <v>8</v>
      </c>
      <c r="I68" s="145">
        <v>0</v>
      </c>
      <c r="J68" s="145">
        <v>1</v>
      </c>
      <c r="K68" s="145">
        <v>0</v>
      </c>
      <c r="L68" s="194">
        <f>2670+600+150+3400</f>
        <v>6820</v>
      </c>
      <c r="M68" s="194">
        <f t="shared" si="9"/>
        <v>852.5</v>
      </c>
      <c r="N68" s="331">
        <f t="shared" si="10"/>
        <v>0</v>
      </c>
      <c r="O68" s="331">
        <f t="shared" si="11"/>
        <v>0.125</v>
      </c>
      <c r="P68" s="147" t="s">
        <v>1601</v>
      </c>
      <c r="Q68" s="147"/>
      <c r="R68" s="142" t="s">
        <v>2040</v>
      </c>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90"/>
      <c r="BA68" s="141">
        <f t="shared" si="12"/>
        <v>0</v>
      </c>
      <c r="BC68" s="140" t="str">
        <f t="shared" si="13"/>
        <v/>
      </c>
      <c r="BD68" s="141" t="str">
        <f t="shared" si="14"/>
        <v/>
      </c>
    </row>
    <row r="69" spans="1:58" s="90" customFormat="1" ht="12" customHeight="1" x14ac:dyDescent="0.15">
      <c r="A69" s="142" t="s">
        <v>757</v>
      </c>
      <c r="B69" s="142" t="s">
        <v>111</v>
      </c>
      <c r="C69" s="142" t="s">
        <v>1007</v>
      </c>
      <c r="D69" s="142" t="s">
        <v>534</v>
      </c>
      <c r="E69" s="142" t="s">
        <v>213</v>
      </c>
      <c r="F69" s="143">
        <v>38793</v>
      </c>
      <c r="G69" s="144">
        <v>8000</v>
      </c>
      <c r="H69" s="145">
        <v>5</v>
      </c>
      <c r="I69" s="145">
        <v>0</v>
      </c>
      <c r="J69" s="145">
        <v>1</v>
      </c>
      <c r="K69" s="145">
        <v>3</v>
      </c>
      <c r="L69" s="194">
        <f>9660+4830+4180+4180+183</f>
        <v>23033</v>
      </c>
      <c r="M69" s="194">
        <f t="shared" si="9"/>
        <v>4606.6000000000004</v>
      </c>
      <c r="N69" s="331">
        <f t="shared" si="10"/>
        <v>0</v>
      </c>
      <c r="O69" s="331">
        <f t="shared" si="11"/>
        <v>0.8</v>
      </c>
      <c r="P69" s="147" t="s">
        <v>1601</v>
      </c>
      <c r="Q69" s="147" t="s">
        <v>1257</v>
      </c>
      <c r="R69" s="142" t="s">
        <v>1674</v>
      </c>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86"/>
      <c r="BA69" s="150">
        <f t="shared" si="12"/>
        <v>0</v>
      </c>
      <c r="BC69" s="90" t="str">
        <f t="shared" si="13"/>
        <v>XX</v>
      </c>
      <c r="BD69" s="141">
        <f t="shared" si="14"/>
        <v>15033</v>
      </c>
    </row>
    <row r="70" spans="1:58" s="90" customFormat="1" ht="12" customHeight="1" x14ac:dyDescent="0.15">
      <c r="A70" s="142" t="s">
        <v>650</v>
      </c>
      <c r="B70" s="142" t="s">
        <v>1141</v>
      </c>
      <c r="C70" s="142" t="s">
        <v>681</v>
      </c>
      <c r="D70" s="142" t="s">
        <v>524</v>
      </c>
      <c r="E70" s="142" t="s">
        <v>283</v>
      </c>
      <c r="F70" s="143">
        <v>38756</v>
      </c>
      <c r="G70" s="144"/>
      <c r="H70" s="145">
        <v>22</v>
      </c>
      <c r="I70" s="145">
        <v>0</v>
      </c>
      <c r="J70" s="145">
        <v>1</v>
      </c>
      <c r="K70" s="145">
        <v>3</v>
      </c>
      <c r="L70" s="194">
        <f>75398+616+308+308</f>
        <v>76630</v>
      </c>
      <c r="M70" s="194">
        <f t="shared" si="9"/>
        <v>3483.181818181818</v>
      </c>
      <c r="N70" s="331">
        <f t="shared" si="10"/>
        <v>0</v>
      </c>
      <c r="O70" s="331">
        <f t="shared" si="11"/>
        <v>0.18181818181818182</v>
      </c>
      <c r="P70" s="147" t="s">
        <v>1601</v>
      </c>
      <c r="Q70" s="147" t="s">
        <v>1321</v>
      </c>
      <c r="R70" s="142" t="s">
        <v>2112</v>
      </c>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BA70" s="150">
        <f t="shared" si="12"/>
        <v>0</v>
      </c>
      <c r="BC70" s="90" t="str">
        <f t="shared" si="13"/>
        <v/>
      </c>
      <c r="BD70" s="141" t="str">
        <f t="shared" si="14"/>
        <v/>
      </c>
    </row>
    <row r="71" spans="1:58" s="90" customFormat="1" ht="12" customHeight="1" x14ac:dyDescent="0.15">
      <c r="A71" s="51" t="s">
        <v>577</v>
      </c>
      <c r="B71" s="51" t="s">
        <v>111</v>
      </c>
      <c r="C71" s="51" t="s">
        <v>696</v>
      </c>
      <c r="D71" s="51" t="s">
        <v>1004</v>
      </c>
      <c r="E71" s="51" t="s">
        <v>156</v>
      </c>
      <c r="F71" s="85">
        <v>38753</v>
      </c>
      <c r="G71" s="121">
        <v>95000</v>
      </c>
      <c r="H71" s="196"/>
      <c r="I71" s="196"/>
      <c r="J71" s="196"/>
      <c r="K71" s="196"/>
      <c r="L71" s="197" t="s">
        <v>391</v>
      </c>
      <c r="M71" s="197"/>
      <c r="N71" s="333" t="str">
        <f>IF(I71="","--",J71/I71)</f>
        <v>--</v>
      </c>
      <c r="O71" s="333" t="str">
        <f>IF(I71="","--",SUM(J71:L71)/I71)</f>
        <v>--</v>
      </c>
      <c r="P71" s="49" t="s">
        <v>1601</v>
      </c>
      <c r="Q71" s="49"/>
      <c r="R71" s="51" t="s">
        <v>2471</v>
      </c>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13"/>
      <c r="AU71" s="140"/>
      <c r="AV71" s="140"/>
      <c r="AW71" s="140"/>
      <c r="AX71" s="140"/>
      <c r="AY71" s="140"/>
      <c r="AZ71" s="140"/>
      <c r="BA71" s="141" t="str">
        <f>IF(I71="","",IF(I71&gt;0,1,0))</f>
        <v/>
      </c>
      <c r="BC71" s="140" t="str">
        <f>IF(G71="","",IF(L71="unraced","",IF(G71&lt;L71,"XX","")))</f>
        <v/>
      </c>
      <c r="BD71" s="141" t="str">
        <f>IF(BC71="","",L71-G71)</f>
        <v/>
      </c>
    </row>
    <row r="72" spans="1:58" ht="12" customHeight="1" x14ac:dyDescent="0.15">
      <c r="A72" s="70" t="s">
        <v>726</v>
      </c>
      <c r="B72" s="70" t="s">
        <v>1638</v>
      </c>
      <c r="C72" s="70" t="s">
        <v>832</v>
      </c>
      <c r="D72" s="70" t="s">
        <v>920</v>
      </c>
      <c r="E72" s="70" t="s">
        <v>229</v>
      </c>
      <c r="F72" s="91">
        <v>38786</v>
      </c>
      <c r="G72" s="122">
        <v>350000</v>
      </c>
      <c r="H72" s="198"/>
      <c r="I72" s="198"/>
      <c r="J72" s="198"/>
      <c r="K72" s="198"/>
      <c r="L72" s="199" t="s">
        <v>391</v>
      </c>
      <c r="M72" s="199"/>
      <c r="N72" s="333" t="str">
        <f t="shared" ref="N72:N95" si="15">IF(I72="","--",J72/I72)</f>
        <v>--</v>
      </c>
      <c r="O72" s="333" t="str">
        <f t="shared" ref="O72:O95" si="16">IF(I72="","--",SUM(J72:L72)/I72)</f>
        <v>--</v>
      </c>
      <c r="P72" s="49" t="s">
        <v>1594</v>
      </c>
      <c r="Q72" s="68"/>
      <c r="R72" s="70" t="s">
        <v>1191</v>
      </c>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U72" s="90"/>
      <c r="AV72" s="90"/>
      <c r="AW72" s="90"/>
      <c r="AX72" s="90"/>
      <c r="AY72" s="90"/>
      <c r="AZ72" s="90"/>
      <c r="BA72" s="150" t="str">
        <f t="shared" si="12"/>
        <v/>
      </c>
      <c r="BB72" s="90"/>
      <c r="BC72" s="90" t="str">
        <f t="shared" si="13"/>
        <v/>
      </c>
      <c r="BD72" s="141" t="str">
        <f t="shared" si="14"/>
        <v/>
      </c>
      <c r="BE72" s="90"/>
      <c r="BF72" s="90"/>
    </row>
    <row r="73" spans="1:58" s="90" customFormat="1" ht="12" customHeight="1" x14ac:dyDescent="0.15">
      <c r="A73" s="51" t="s">
        <v>539</v>
      </c>
      <c r="B73" s="51" t="s">
        <v>713</v>
      </c>
      <c r="C73" s="51" t="s">
        <v>1005</v>
      </c>
      <c r="D73" s="51" t="s">
        <v>999</v>
      </c>
      <c r="E73" s="51" t="s">
        <v>265</v>
      </c>
      <c r="F73" s="85">
        <v>38798</v>
      </c>
      <c r="G73" s="121">
        <v>400000</v>
      </c>
      <c r="H73" s="196"/>
      <c r="I73" s="196"/>
      <c r="J73" s="196"/>
      <c r="K73" s="196"/>
      <c r="L73" s="197" t="s">
        <v>391</v>
      </c>
      <c r="M73" s="197"/>
      <c r="N73" s="333" t="str">
        <f t="shared" si="15"/>
        <v>--</v>
      </c>
      <c r="O73" s="333" t="str">
        <f t="shared" si="16"/>
        <v>--</v>
      </c>
      <c r="P73" s="49" t="s">
        <v>1595</v>
      </c>
      <c r="Q73" s="49"/>
      <c r="R73" s="51" t="s">
        <v>1217</v>
      </c>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13"/>
      <c r="BA73" s="150" t="str">
        <f t="shared" si="12"/>
        <v/>
      </c>
      <c r="BC73" s="90" t="str">
        <f t="shared" si="13"/>
        <v/>
      </c>
      <c r="BD73" s="141" t="str">
        <f t="shared" si="14"/>
        <v/>
      </c>
    </row>
    <row r="74" spans="1:58" s="140" customFormat="1" ht="12" customHeight="1" x14ac:dyDescent="0.15">
      <c r="A74" s="51" t="s">
        <v>526</v>
      </c>
      <c r="B74" s="51" t="s">
        <v>969</v>
      </c>
      <c r="C74" s="51" t="s">
        <v>591</v>
      </c>
      <c r="D74" s="51" t="s">
        <v>672</v>
      </c>
      <c r="E74" s="51" t="s">
        <v>1275</v>
      </c>
      <c r="F74" s="85">
        <v>38731</v>
      </c>
      <c r="G74" s="121">
        <v>150000</v>
      </c>
      <c r="H74" s="196"/>
      <c r="I74" s="196"/>
      <c r="J74" s="196"/>
      <c r="K74" s="196"/>
      <c r="L74" s="197" t="s">
        <v>391</v>
      </c>
      <c r="M74" s="197"/>
      <c r="N74" s="333" t="str">
        <f t="shared" si="15"/>
        <v>--</v>
      </c>
      <c r="O74" s="333" t="str">
        <f t="shared" si="16"/>
        <v>--</v>
      </c>
      <c r="P74" s="49" t="s">
        <v>1602</v>
      </c>
      <c r="Q74" s="49"/>
      <c r="R74" s="51" t="s">
        <v>1286</v>
      </c>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13"/>
      <c r="AU74" s="90"/>
      <c r="AV74" s="90"/>
      <c r="AW74" s="90"/>
      <c r="AX74" s="90"/>
      <c r="AY74" s="90"/>
      <c r="AZ74" s="90"/>
      <c r="BA74" s="150" t="str">
        <f t="shared" si="12"/>
        <v/>
      </c>
      <c r="BB74" s="13"/>
      <c r="BC74" s="90" t="str">
        <f t="shared" si="13"/>
        <v/>
      </c>
      <c r="BD74" s="141" t="str">
        <f t="shared" si="14"/>
        <v/>
      </c>
      <c r="BE74" s="13"/>
      <c r="BF74" s="13"/>
    </row>
    <row r="75" spans="1:58" ht="12" customHeight="1" x14ac:dyDescent="0.15">
      <c r="A75" s="70" t="s">
        <v>465</v>
      </c>
      <c r="B75" s="70" t="s">
        <v>95</v>
      </c>
      <c r="C75" s="70" t="s">
        <v>944</v>
      </c>
      <c r="D75" s="70" t="s">
        <v>448</v>
      </c>
      <c r="E75" s="70" t="s">
        <v>228</v>
      </c>
      <c r="F75" s="91">
        <v>38824</v>
      </c>
      <c r="G75" s="122">
        <v>3200</v>
      </c>
      <c r="H75" s="198"/>
      <c r="I75" s="198"/>
      <c r="J75" s="198"/>
      <c r="K75" s="198"/>
      <c r="L75" s="199" t="s">
        <v>391</v>
      </c>
      <c r="M75" s="199"/>
      <c r="N75" s="333" t="str">
        <f t="shared" si="15"/>
        <v>--</v>
      </c>
      <c r="O75" s="333" t="str">
        <f t="shared" si="16"/>
        <v>--</v>
      </c>
      <c r="P75" s="68" t="s">
        <v>1603</v>
      </c>
      <c r="Q75" s="68"/>
      <c r="R75" s="70" t="s">
        <v>358</v>
      </c>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U75" s="140"/>
      <c r="AV75" s="140"/>
      <c r="AW75" s="140"/>
      <c r="AX75" s="140"/>
      <c r="AY75" s="140"/>
      <c r="AZ75" s="140"/>
      <c r="BA75" s="141" t="str">
        <f t="shared" si="12"/>
        <v/>
      </c>
      <c r="BB75" s="90"/>
      <c r="BC75" s="140" t="str">
        <f t="shared" si="13"/>
        <v/>
      </c>
      <c r="BD75" s="141" t="str">
        <f t="shared" si="14"/>
        <v/>
      </c>
      <c r="BE75" s="90"/>
      <c r="BF75" s="90"/>
    </row>
    <row r="76" spans="1:58" s="140" customFormat="1" ht="12" customHeight="1" x14ac:dyDescent="0.15">
      <c r="A76" s="51" t="s">
        <v>1154</v>
      </c>
      <c r="B76" s="51" t="s">
        <v>111</v>
      </c>
      <c r="C76" s="51" t="s">
        <v>990</v>
      </c>
      <c r="D76" s="51" t="s">
        <v>1061</v>
      </c>
      <c r="E76" s="51" t="s">
        <v>164</v>
      </c>
      <c r="F76" s="85">
        <v>38853</v>
      </c>
      <c r="G76" s="121">
        <v>140000</v>
      </c>
      <c r="H76" s="196"/>
      <c r="I76" s="196"/>
      <c r="J76" s="196"/>
      <c r="K76" s="196"/>
      <c r="L76" s="197" t="s">
        <v>391</v>
      </c>
      <c r="M76" s="197"/>
      <c r="N76" s="333" t="str">
        <f t="shared" si="15"/>
        <v>--</v>
      </c>
      <c r="O76" s="333" t="str">
        <f t="shared" si="16"/>
        <v>--</v>
      </c>
      <c r="P76" s="49" t="s">
        <v>1603</v>
      </c>
      <c r="Q76" s="49"/>
      <c r="R76" s="51" t="s">
        <v>2373</v>
      </c>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90"/>
      <c r="AV76" s="90"/>
      <c r="AW76" s="90"/>
      <c r="AX76" s="90"/>
      <c r="AY76" s="90"/>
      <c r="AZ76" s="90"/>
      <c r="BA76" s="150" t="str">
        <f t="shared" si="12"/>
        <v/>
      </c>
      <c r="BC76" s="90" t="str">
        <f t="shared" si="13"/>
        <v/>
      </c>
      <c r="BD76" s="141" t="str">
        <f t="shared" si="14"/>
        <v/>
      </c>
    </row>
    <row r="77" spans="1:58" s="90" customFormat="1" ht="12" customHeight="1" x14ac:dyDescent="0.15">
      <c r="A77" s="51" t="s">
        <v>861</v>
      </c>
      <c r="B77" s="51" t="s">
        <v>113</v>
      </c>
      <c r="C77" s="51" t="s">
        <v>870</v>
      </c>
      <c r="D77" s="51" t="s">
        <v>989</v>
      </c>
      <c r="E77" s="51" t="s">
        <v>201</v>
      </c>
      <c r="F77" s="85">
        <v>38827</v>
      </c>
      <c r="G77" s="121">
        <v>35000</v>
      </c>
      <c r="H77" s="196"/>
      <c r="I77" s="196"/>
      <c r="J77" s="196"/>
      <c r="K77" s="196"/>
      <c r="L77" s="197" t="s">
        <v>391</v>
      </c>
      <c r="M77" s="197"/>
      <c r="N77" s="333" t="str">
        <f t="shared" si="15"/>
        <v>--</v>
      </c>
      <c r="O77" s="333" t="str">
        <f t="shared" si="16"/>
        <v>--</v>
      </c>
      <c r="P77" s="49" t="s">
        <v>1601</v>
      </c>
      <c r="Q77" s="49"/>
      <c r="R77" s="51" t="s">
        <v>87</v>
      </c>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13"/>
      <c r="BA77" s="150" t="str">
        <f t="shared" si="12"/>
        <v/>
      </c>
      <c r="BB77" s="13"/>
      <c r="BC77" s="90" t="str">
        <f t="shared" si="13"/>
        <v/>
      </c>
      <c r="BD77" s="141" t="str">
        <f t="shared" si="14"/>
        <v/>
      </c>
      <c r="BE77" s="13"/>
      <c r="BF77" s="13"/>
    </row>
    <row r="78" spans="1:58" s="90" customFormat="1" ht="12" customHeight="1" x14ac:dyDescent="0.15">
      <c r="A78" s="51" t="s">
        <v>1131</v>
      </c>
      <c r="B78" s="51" t="s">
        <v>111</v>
      </c>
      <c r="C78" s="51" t="s">
        <v>599</v>
      </c>
      <c r="D78" s="51" t="s">
        <v>1082</v>
      </c>
      <c r="E78" s="51" t="s">
        <v>157</v>
      </c>
      <c r="F78" s="85">
        <v>38731</v>
      </c>
      <c r="G78" s="121">
        <v>43000</v>
      </c>
      <c r="H78" s="196"/>
      <c r="I78" s="196"/>
      <c r="J78" s="196"/>
      <c r="K78" s="196"/>
      <c r="L78" s="197" t="s">
        <v>391</v>
      </c>
      <c r="M78" s="197"/>
      <c r="N78" s="333" t="str">
        <f>IF(I78="","--",J78/I78)</f>
        <v>--</v>
      </c>
      <c r="O78" s="333" t="str">
        <f>IF(I78="","--",SUM(J78:L78)/I78)</f>
        <v>--</v>
      </c>
      <c r="P78" s="49" t="s">
        <v>1601</v>
      </c>
      <c r="Q78" s="49"/>
      <c r="R78" s="51" t="s">
        <v>5433</v>
      </c>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65"/>
      <c r="BA78" s="150" t="str">
        <f>IF(I78="","",IF(I78&gt;0,1,0))</f>
        <v/>
      </c>
      <c r="BB78" s="140"/>
      <c r="BC78" s="90" t="str">
        <f>IF(G78="","",IF(L78="unraced","",IF(G78&lt;L78,"XX","")))</f>
        <v/>
      </c>
      <c r="BD78" s="141" t="str">
        <f>IF(BC78="","",L78-G78)</f>
        <v/>
      </c>
      <c r="BE78" s="140"/>
      <c r="BF78" s="140"/>
    </row>
    <row r="79" spans="1:58" s="90" customFormat="1" ht="12" customHeight="1" x14ac:dyDescent="0.15">
      <c r="A79" s="51" t="s">
        <v>588</v>
      </c>
      <c r="B79" s="51" t="s">
        <v>111</v>
      </c>
      <c r="C79" s="51" t="s">
        <v>850</v>
      </c>
      <c r="D79" s="51" t="s">
        <v>940</v>
      </c>
      <c r="E79" s="51" t="s">
        <v>177</v>
      </c>
      <c r="F79" s="85">
        <v>38824</v>
      </c>
      <c r="G79" s="121">
        <v>35000</v>
      </c>
      <c r="H79" s="196"/>
      <c r="I79" s="196"/>
      <c r="J79" s="196"/>
      <c r="K79" s="196"/>
      <c r="L79" s="197" t="s">
        <v>391</v>
      </c>
      <c r="M79" s="197"/>
      <c r="N79" s="333" t="str">
        <f t="shared" si="15"/>
        <v>--</v>
      </c>
      <c r="O79" s="333" t="str">
        <f t="shared" si="16"/>
        <v>--</v>
      </c>
      <c r="P79" s="49" t="s">
        <v>1603</v>
      </c>
      <c r="Q79" s="200" t="s">
        <v>1561</v>
      </c>
      <c r="R79" s="51" t="s">
        <v>1808</v>
      </c>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13"/>
      <c r="AU79" s="140"/>
      <c r="AV79" s="140"/>
      <c r="AW79" s="140"/>
      <c r="AX79" s="140"/>
      <c r="AY79" s="140"/>
      <c r="AZ79" s="140"/>
      <c r="BA79" s="141" t="str">
        <f t="shared" si="12"/>
        <v/>
      </c>
      <c r="BC79" s="140" t="str">
        <f t="shared" si="13"/>
        <v/>
      </c>
      <c r="BD79" s="141" t="str">
        <f t="shared" si="14"/>
        <v/>
      </c>
    </row>
    <row r="80" spans="1:58" s="140" customFormat="1" ht="12" customHeight="1" x14ac:dyDescent="0.15">
      <c r="A80" s="51" t="s">
        <v>816</v>
      </c>
      <c r="B80" s="51" t="s">
        <v>112</v>
      </c>
      <c r="C80" s="51" t="s">
        <v>478</v>
      </c>
      <c r="D80" s="51" t="s">
        <v>787</v>
      </c>
      <c r="E80" s="51" t="s">
        <v>176</v>
      </c>
      <c r="F80" s="85">
        <v>38847</v>
      </c>
      <c r="G80" s="121">
        <v>12000</v>
      </c>
      <c r="H80" s="196"/>
      <c r="I80" s="196"/>
      <c r="J80" s="196"/>
      <c r="K80" s="196"/>
      <c r="L80" s="197" t="s">
        <v>391</v>
      </c>
      <c r="M80" s="197"/>
      <c r="N80" s="333" t="str">
        <f t="shared" si="15"/>
        <v>--</v>
      </c>
      <c r="O80" s="333" t="str">
        <f t="shared" si="16"/>
        <v>--</v>
      </c>
      <c r="P80" s="49" t="s">
        <v>1601</v>
      </c>
      <c r="Q80" s="49"/>
      <c r="R80" s="51" t="s">
        <v>2413</v>
      </c>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13"/>
      <c r="AU80" s="13"/>
      <c r="AV80" s="13"/>
      <c r="AW80" s="13"/>
      <c r="AX80" s="13"/>
      <c r="AY80" s="13"/>
      <c r="AZ80" s="13"/>
      <c r="BA80" s="14" t="str">
        <f t="shared" si="12"/>
        <v/>
      </c>
      <c r="BB80" s="90"/>
      <c r="BC80" s="13" t="str">
        <f t="shared" si="13"/>
        <v/>
      </c>
      <c r="BD80" s="141" t="str">
        <f t="shared" si="14"/>
        <v/>
      </c>
      <c r="BE80" s="90"/>
      <c r="BF80" s="90"/>
    </row>
    <row r="81" spans="1:58" s="140" customFormat="1" ht="12" customHeight="1" x14ac:dyDescent="0.15">
      <c r="A81" s="51" t="s">
        <v>547</v>
      </c>
      <c r="B81" s="51" t="s">
        <v>112</v>
      </c>
      <c r="C81" s="51" t="s">
        <v>914</v>
      </c>
      <c r="D81" s="51" t="s">
        <v>843</v>
      </c>
      <c r="E81" s="51" t="s">
        <v>1287</v>
      </c>
      <c r="F81" s="85">
        <v>38727</v>
      </c>
      <c r="G81" s="121">
        <v>250000</v>
      </c>
      <c r="H81" s="196"/>
      <c r="I81" s="196"/>
      <c r="J81" s="196"/>
      <c r="K81" s="196"/>
      <c r="L81" s="197" t="s">
        <v>391</v>
      </c>
      <c r="M81" s="197"/>
      <c r="N81" s="333" t="str">
        <f t="shared" si="15"/>
        <v>--</v>
      </c>
      <c r="O81" s="333" t="str">
        <f t="shared" si="16"/>
        <v>--</v>
      </c>
      <c r="P81" s="49" t="s">
        <v>1603</v>
      </c>
      <c r="Q81" s="200"/>
      <c r="R81" s="51" t="s">
        <v>1280</v>
      </c>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13"/>
      <c r="AU81" s="13"/>
      <c r="AV81" s="13"/>
      <c r="AW81" s="13"/>
      <c r="AX81" s="13"/>
      <c r="AY81" s="13"/>
      <c r="AZ81" s="13"/>
      <c r="BA81" s="14" t="str">
        <f t="shared" si="12"/>
        <v/>
      </c>
      <c r="BB81" s="90"/>
      <c r="BC81" s="13" t="str">
        <f t="shared" si="13"/>
        <v/>
      </c>
      <c r="BD81" s="141" t="str">
        <f t="shared" si="14"/>
        <v/>
      </c>
      <c r="BE81" s="90"/>
      <c r="BF81" s="90"/>
    </row>
    <row r="82" spans="1:58" s="90" customFormat="1" ht="12" customHeight="1" x14ac:dyDescent="0.15">
      <c r="A82" s="51" t="s">
        <v>851</v>
      </c>
      <c r="B82" s="51" t="s">
        <v>111</v>
      </c>
      <c r="C82" s="51" t="s">
        <v>922</v>
      </c>
      <c r="D82" s="51" t="s">
        <v>819</v>
      </c>
      <c r="E82" s="51" t="s">
        <v>235</v>
      </c>
      <c r="F82" s="85">
        <v>38817</v>
      </c>
      <c r="G82" s="121"/>
      <c r="H82" s="196"/>
      <c r="I82" s="196"/>
      <c r="J82" s="196"/>
      <c r="K82" s="196"/>
      <c r="L82" s="197" t="s">
        <v>391</v>
      </c>
      <c r="M82" s="197"/>
      <c r="N82" s="333" t="str">
        <f t="shared" si="15"/>
        <v>--</v>
      </c>
      <c r="O82" s="333" t="str">
        <f t="shared" si="16"/>
        <v>--</v>
      </c>
      <c r="P82" s="49" t="s">
        <v>1601</v>
      </c>
      <c r="Q82" s="49"/>
      <c r="R82" s="51" t="s">
        <v>303</v>
      </c>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13"/>
      <c r="AU82" s="13"/>
      <c r="AV82" s="13"/>
      <c r="AW82" s="13"/>
      <c r="AX82" s="13"/>
      <c r="AY82" s="13"/>
      <c r="AZ82" s="13"/>
      <c r="BA82" s="14" t="str">
        <f t="shared" si="12"/>
        <v/>
      </c>
      <c r="BB82" s="140"/>
      <c r="BC82" s="13" t="str">
        <f t="shared" si="13"/>
        <v/>
      </c>
      <c r="BD82" s="141" t="str">
        <f t="shared" si="14"/>
        <v/>
      </c>
      <c r="BE82" s="140"/>
      <c r="BF82" s="140"/>
    </row>
    <row r="83" spans="1:58" s="140" customFormat="1" ht="12" customHeight="1" x14ac:dyDescent="0.15">
      <c r="A83" s="51" t="s">
        <v>738</v>
      </c>
      <c r="B83" s="51" t="s">
        <v>1513</v>
      </c>
      <c r="C83" s="51" t="s">
        <v>476</v>
      </c>
      <c r="D83" s="51" t="s">
        <v>562</v>
      </c>
      <c r="E83" s="51" t="s">
        <v>183</v>
      </c>
      <c r="F83" s="85">
        <v>38744</v>
      </c>
      <c r="G83" s="121">
        <v>150000</v>
      </c>
      <c r="H83" s="196"/>
      <c r="I83" s="196"/>
      <c r="J83" s="196"/>
      <c r="K83" s="196"/>
      <c r="L83" s="197" t="s">
        <v>391</v>
      </c>
      <c r="M83" s="197"/>
      <c r="N83" s="333" t="str">
        <f t="shared" si="15"/>
        <v>--</v>
      </c>
      <c r="O83" s="333" t="str">
        <f t="shared" si="16"/>
        <v>--</v>
      </c>
      <c r="P83" s="49" t="s">
        <v>1604</v>
      </c>
      <c r="Q83" s="49"/>
      <c r="R83" s="51" t="s">
        <v>1610</v>
      </c>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13"/>
      <c r="AU83" s="90"/>
      <c r="AV83" s="90"/>
      <c r="AW83" s="90"/>
      <c r="AX83" s="90"/>
      <c r="AY83" s="90"/>
      <c r="AZ83" s="90"/>
      <c r="BA83" s="150" t="str">
        <f t="shared" si="12"/>
        <v/>
      </c>
      <c r="BC83" s="90" t="str">
        <f t="shared" si="13"/>
        <v/>
      </c>
      <c r="BD83" s="141" t="str">
        <f t="shared" si="14"/>
        <v/>
      </c>
    </row>
    <row r="84" spans="1:58" s="90" customFormat="1" ht="12" customHeight="1" x14ac:dyDescent="0.15">
      <c r="A84" s="51" t="s">
        <v>853</v>
      </c>
      <c r="B84" s="51" t="s">
        <v>111</v>
      </c>
      <c r="C84" s="51" t="s">
        <v>622</v>
      </c>
      <c r="D84" s="51" t="s">
        <v>608</v>
      </c>
      <c r="E84" s="51" t="s">
        <v>182</v>
      </c>
      <c r="F84" s="85">
        <v>38817</v>
      </c>
      <c r="G84" s="121"/>
      <c r="H84" s="196"/>
      <c r="I84" s="196"/>
      <c r="J84" s="196"/>
      <c r="K84" s="196"/>
      <c r="L84" s="197" t="s">
        <v>391</v>
      </c>
      <c r="M84" s="197"/>
      <c r="N84" s="333" t="str">
        <f t="shared" si="15"/>
        <v>--</v>
      </c>
      <c r="O84" s="333" t="str">
        <f t="shared" si="16"/>
        <v>--</v>
      </c>
      <c r="P84" s="49" t="s">
        <v>1602</v>
      </c>
      <c r="Q84" s="200"/>
      <c r="R84" s="51" t="s">
        <v>1842</v>
      </c>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13"/>
      <c r="AU84" s="13"/>
      <c r="AV84" s="13"/>
      <c r="AW84" s="13"/>
      <c r="AX84" s="13"/>
      <c r="AY84" s="13"/>
      <c r="AZ84" s="13"/>
      <c r="BA84" s="14" t="str">
        <f t="shared" si="12"/>
        <v/>
      </c>
      <c r="BC84" s="13" t="str">
        <f t="shared" si="13"/>
        <v/>
      </c>
      <c r="BD84" s="141" t="str">
        <f t="shared" si="14"/>
        <v/>
      </c>
    </row>
    <row r="85" spans="1:58" ht="12" customHeight="1" x14ac:dyDescent="0.15">
      <c r="A85" s="70" t="s">
        <v>565</v>
      </c>
      <c r="B85" s="70" t="s">
        <v>112</v>
      </c>
      <c r="C85" s="70" t="s">
        <v>437</v>
      </c>
      <c r="D85" s="70" t="s">
        <v>755</v>
      </c>
      <c r="E85" s="70" t="s">
        <v>181</v>
      </c>
      <c r="F85" s="91">
        <v>38751</v>
      </c>
      <c r="G85" s="122"/>
      <c r="H85" s="198"/>
      <c r="I85" s="198"/>
      <c r="J85" s="198"/>
      <c r="K85" s="198"/>
      <c r="L85" s="199" t="s">
        <v>391</v>
      </c>
      <c r="M85" s="199"/>
      <c r="N85" s="333" t="str">
        <f t="shared" si="15"/>
        <v>--</v>
      </c>
      <c r="O85" s="333" t="str">
        <f t="shared" si="16"/>
        <v>--</v>
      </c>
      <c r="P85" s="49" t="s">
        <v>1603</v>
      </c>
      <c r="Q85" s="201"/>
      <c r="R85" s="70" t="s">
        <v>171</v>
      </c>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BA85" s="14" t="str">
        <f t="shared" si="12"/>
        <v/>
      </c>
      <c r="BB85" s="140"/>
      <c r="BC85" s="13" t="str">
        <f t="shared" si="13"/>
        <v/>
      </c>
      <c r="BD85" s="141" t="str">
        <f t="shared" si="14"/>
        <v/>
      </c>
      <c r="BE85" s="140"/>
      <c r="BF85" s="140"/>
    </row>
    <row r="86" spans="1:58" ht="12" customHeight="1" x14ac:dyDescent="0.15">
      <c r="A86" s="70" t="s">
        <v>917</v>
      </c>
      <c r="B86" s="70" t="s">
        <v>93</v>
      </c>
      <c r="C86" s="70" t="s">
        <v>482</v>
      </c>
      <c r="D86" s="70" t="s">
        <v>643</v>
      </c>
      <c r="E86" s="70" t="s">
        <v>250</v>
      </c>
      <c r="F86" s="91">
        <v>38823</v>
      </c>
      <c r="G86" s="122">
        <v>100000</v>
      </c>
      <c r="H86" s="198"/>
      <c r="I86" s="198"/>
      <c r="J86" s="198"/>
      <c r="K86" s="198"/>
      <c r="L86" s="199" t="s">
        <v>391</v>
      </c>
      <c r="M86" s="199"/>
      <c r="N86" s="333" t="str">
        <f t="shared" si="15"/>
        <v>--</v>
      </c>
      <c r="O86" s="333" t="str">
        <f t="shared" si="16"/>
        <v>--</v>
      </c>
      <c r="P86" s="49" t="s">
        <v>1602</v>
      </c>
      <c r="Q86" s="201"/>
      <c r="R86" s="70" t="s">
        <v>3209</v>
      </c>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U86" s="140"/>
      <c r="AV86" s="140"/>
      <c r="AW86" s="140"/>
      <c r="AX86" s="140"/>
      <c r="AY86" s="140"/>
      <c r="AZ86" s="140"/>
      <c r="BA86" s="141" t="str">
        <f t="shared" si="12"/>
        <v/>
      </c>
      <c r="BB86" s="90"/>
      <c r="BC86" s="140" t="str">
        <f t="shared" si="13"/>
        <v/>
      </c>
      <c r="BD86" s="141" t="str">
        <f t="shared" si="14"/>
        <v/>
      </c>
      <c r="BE86" s="90"/>
      <c r="BF86" s="90"/>
    </row>
    <row r="87" spans="1:58" s="90" customFormat="1" ht="12" customHeight="1" x14ac:dyDescent="0.15">
      <c r="A87" s="51" t="s">
        <v>590</v>
      </c>
      <c r="B87" s="51" t="s">
        <v>1639</v>
      </c>
      <c r="C87" s="51" t="s">
        <v>810</v>
      </c>
      <c r="D87" s="51" t="s">
        <v>560</v>
      </c>
      <c r="E87" s="51" t="s">
        <v>246</v>
      </c>
      <c r="F87" s="85">
        <v>38760</v>
      </c>
      <c r="G87" s="121"/>
      <c r="H87" s="196"/>
      <c r="I87" s="196"/>
      <c r="J87" s="196"/>
      <c r="K87" s="196"/>
      <c r="L87" s="197" t="s">
        <v>391</v>
      </c>
      <c r="M87" s="197"/>
      <c r="N87" s="333" t="str">
        <f t="shared" si="15"/>
        <v>--</v>
      </c>
      <c r="O87" s="333" t="str">
        <f t="shared" si="16"/>
        <v>--</v>
      </c>
      <c r="P87" s="49" t="s">
        <v>1592</v>
      </c>
      <c r="Q87" s="49"/>
      <c r="R87" s="51" t="s">
        <v>714</v>
      </c>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13"/>
      <c r="AU87" s="140"/>
      <c r="AV87" s="140"/>
      <c r="AW87" s="140"/>
      <c r="AX87" s="140"/>
      <c r="AY87" s="140"/>
      <c r="AZ87" s="140"/>
      <c r="BA87" s="141" t="str">
        <f t="shared" si="12"/>
        <v/>
      </c>
      <c r="BB87" s="13"/>
      <c r="BC87" s="140" t="str">
        <f t="shared" si="13"/>
        <v/>
      </c>
      <c r="BD87" s="141" t="str">
        <f t="shared" si="14"/>
        <v/>
      </c>
      <c r="BE87" s="13"/>
      <c r="BF87" s="13"/>
    </row>
    <row r="88" spans="1:58" ht="12" customHeight="1" x14ac:dyDescent="0.15">
      <c r="A88" s="6" t="s">
        <v>528</v>
      </c>
      <c r="B88" s="6" t="s">
        <v>111</v>
      </c>
      <c r="C88" s="6" t="s">
        <v>602</v>
      </c>
      <c r="D88" s="6" t="s">
        <v>603</v>
      </c>
      <c r="E88" s="6" t="s">
        <v>179</v>
      </c>
      <c r="F88" s="101">
        <v>38786</v>
      </c>
      <c r="G88" s="102">
        <v>300000</v>
      </c>
      <c r="L88" s="202" t="s">
        <v>391</v>
      </c>
      <c r="M88" s="202"/>
      <c r="N88" s="333" t="str">
        <f t="shared" si="15"/>
        <v>--</v>
      </c>
      <c r="O88" s="333" t="str">
        <f t="shared" si="16"/>
        <v>--</v>
      </c>
      <c r="P88" s="49" t="s">
        <v>1601</v>
      </c>
      <c r="Q88" s="203"/>
      <c r="R88" s="6" t="s">
        <v>5338</v>
      </c>
      <c r="AU88" s="90"/>
      <c r="AV88" s="90"/>
      <c r="AW88" s="90"/>
      <c r="AX88" s="90"/>
      <c r="AY88" s="90"/>
      <c r="AZ88" s="90"/>
      <c r="BA88" s="150" t="str">
        <f t="shared" si="12"/>
        <v/>
      </c>
      <c r="BC88" s="90" t="str">
        <f t="shared" si="13"/>
        <v/>
      </c>
      <c r="BD88" s="141" t="str">
        <f t="shared" si="14"/>
        <v/>
      </c>
    </row>
    <row r="89" spans="1:58" s="90" customFormat="1" ht="12" customHeight="1" x14ac:dyDescent="0.15">
      <c r="A89" s="51" t="s">
        <v>868</v>
      </c>
      <c r="B89" s="51" t="s">
        <v>112</v>
      </c>
      <c r="C89" s="51" t="s">
        <v>953</v>
      </c>
      <c r="D89" s="51" t="s">
        <v>958</v>
      </c>
      <c r="E89" s="51" t="s">
        <v>180</v>
      </c>
      <c r="F89" s="85">
        <v>38844</v>
      </c>
      <c r="G89" s="121">
        <v>10000</v>
      </c>
      <c r="H89" s="196"/>
      <c r="I89" s="196"/>
      <c r="J89" s="196"/>
      <c r="K89" s="196"/>
      <c r="L89" s="197" t="s">
        <v>391</v>
      </c>
      <c r="M89" s="197"/>
      <c r="N89" s="333" t="str">
        <f t="shared" si="15"/>
        <v>--</v>
      </c>
      <c r="O89" s="333" t="str">
        <f t="shared" si="16"/>
        <v>--</v>
      </c>
      <c r="P89" s="49" t="s">
        <v>1601</v>
      </c>
      <c r="Q89" s="200"/>
      <c r="R89" s="51" t="s">
        <v>2380</v>
      </c>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13"/>
      <c r="BA89" s="150" t="str">
        <f t="shared" si="12"/>
        <v/>
      </c>
      <c r="BB89" s="13"/>
      <c r="BC89" s="90" t="str">
        <f t="shared" si="13"/>
        <v/>
      </c>
      <c r="BD89" s="141" t="str">
        <f t="shared" si="14"/>
        <v/>
      </c>
      <c r="BE89" s="13"/>
      <c r="BF89" s="13"/>
    </row>
    <row r="90" spans="1:58" ht="12" customHeight="1" x14ac:dyDescent="0.15">
      <c r="A90" s="6" t="s">
        <v>1551</v>
      </c>
      <c r="B90" s="6" t="s">
        <v>111</v>
      </c>
      <c r="C90" s="6" t="s">
        <v>1015</v>
      </c>
      <c r="D90" s="6" t="s">
        <v>1096</v>
      </c>
      <c r="E90" s="6" t="s">
        <v>178</v>
      </c>
      <c r="F90" s="101">
        <v>38762</v>
      </c>
      <c r="G90" s="102">
        <v>350000</v>
      </c>
      <c r="L90" s="202" t="s">
        <v>391</v>
      </c>
      <c r="M90" s="202"/>
      <c r="N90" s="333" t="str">
        <f t="shared" si="15"/>
        <v>--</v>
      </c>
      <c r="O90" s="333" t="str">
        <f t="shared" si="16"/>
        <v>--</v>
      </c>
      <c r="P90" s="7" t="s">
        <v>1597</v>
      </c>
      <c r="Q90" s="203"/>
      <c r="R90" s="6" t="s">
        <v>20</v>
      </c>
      <c r="BA90" s="14" t="str">
        <f t="shared" ref="BA90:BA95" si="17">IF(I90="","",IF(I90&gt;0,1,0))</f>
        <v/>
      </c>
      <c r="BC90" s="13" t="str">
        <f t="shared" si="13"/>
        <v/>
      </c>
    </row>
    <row r="91" spans="1:58" ht="12" customHeight="1" x14ac:dyDescent="0.15">
      <c r="A91" s="6" t="s">
        <v>1551</v>
      </c>
      <c r="B91" s="6" t="s">
        <v>878</v>
      </c>
      <c r="C91" s="6" t="s">
        <v>938</v>
      </c>
      <c r="D91" s="6" t="s">
        <v>898</v>
      </c>
      <c r="G91" s="34"/>
      <c r="H91" s="6"/>
      <c r="I91" s="6"/>
      <c r="J91" s="6"/>
      <c r="K91" s="6"/>
      <c r="L91" s="192"/>
      <c r="M91" s="192"/>
      <c r="N91" s="333" t="str">
        <f t="shared" si="15"/>
        <v>--</v>
      </c>
      <c r="O91" s="333" t="str">
        <f t="shared" si="16"/>
        <v>--</v>
      </c>
      <c r="P91" s="6" t="s">
        <v>1596</v>
      </c>
      <c r="R91" s="75" t="s">
        <v>1045</v>
      </c>
      <c r="BA91" s="14" t="str">
        <f t="shared" si="17"/>
        <v/>
      </c>
      <c r="BC91" s="13" t="str">
        <f t="shared" ref="BC91:BC101" si="18">IF(G91="","",IF(L91="unraced","",IF(G91&lt;L91,"XX","")))</f>
        <v/>
      </c>
    </row>
    <row r="92" spans="1:58" ht="12" customHeight="1" x14ac:dyDescent="0.15">
      <c r="A92" s="6" t="s">
        <v>1551</v>
      </c>
      <c r="B92" s="6" t="s">
        <v>492</v>
      </c>
      <c r="C92" s="6" t="s">
        <v>919</v>
      </c>
      <c r="D92" s="6" t="s">
        <v>998</v>
      </c>
      <c r="F92" s="101">
        <v>38811</v>
      </c>
      <c r="N92" s="333" t="str">
        <f t="shared" si="15"/>
        <v>--</v>
      </c>
      <c r="O92" s="333" t="str">
        <f t="shared" si="16"/>
        <v>--</v>
      </c>
      <c r="P92" s="6" t="s">
        <v>1596</v>
      </c>
      <c r="R92" s="6" t="s">
        <v>649</v>
      </c>
      <c r="BA92" s="14" t="str">
        <f t="shared" si="17"/>
        <v/>
      </c>
      <c r="BC92" s="13" t="str">
        <f t="shared" si="18"/>
        <v/>
      </c>
    </row>
    <row r="93" spans="1:58" ht="12" customHeight="1" x14ac:dyDescent="0.15">
      <c r="A93" s="6" t="s">
        <v>1551</v>
      </c>
      <c r="B93" s="6" t="s">
        <v>491</v>
      </c>
      <c r="C93" s="6" t="s">
        <v>616</v>
      </c>
      <c r="D93" s="6" t="s">
        <v>779</v>
      </c>
      <c r="F93" s="101">
        <v>38754</v>
      </c>
      <c r="N93" s="333" t="str">
        <f t="shared" si="15"/>
        <v>--</v>
      </c>
      <c r="O93" s="333" t="str">
        <f t="shared" si="16"/>
        <v>--</v>
      </c>
      <c r="P93" s="6" t="s">
        <v>1597</v>
      </c>
      <c r="R93" s="6" t="s">
        <v>1091</v>
      </c>
      <c r="BA93" s="14" t="str">
        <f t="shared" si="17"/>
        <v/>
      </c>
      <c r="BC93" s="13" t="str">
        <f t="shared" si="18"/>
        <v/>
      </c>
    </row>
    <row r="94" spans="1:58" ht="12" customHeight="1" x14ac:dyDescent="0.15">
      <c r="A94" s="6" t="s">
        <v>1551</v>
      </c>
      <c r="B94" s="6" t="s">
        <v>356</v>
      </c>
      <c r="C94" s="6" t="s">
        <v>877</v>
      </c>
      <c r="D94" s="6" t="s">
        <v>937</v>
      </c>
      <c r="G94" s="34"/>
      <c r="H94" s="6"/>
      <c r="I94" s="6"/>
      <c r="J94" s="6"/>
      <c r="K94" s="6"/>
      <c r="L94" s="192"/>
      <c r="M94" s="192"/>
      <c r="N94" s="333" t="str">
        <f t="shared" si="15"/>
        <v>--</v>
      </c>
      <c r="O94" s="333" t="str">
        <f t="shared" si="16"/>
        <v>--</v>
      </c>
      <c r="P94" s="6" t="s">
        <v>1596</v>
      </c>
      <c r="R94" s="75" t="s">
        <v>867</v>
      </c>
      <c r="BA94" s="14" t="str">
        <f t="shared" si="17"/>
        <v/>
      </c>
      <c r="BC94" s="13" t="str">
        <f t="shared" si="18"/>
        <v/>
      </c>
    </row>
    <row r="95" spans="1:58" ht="12" customHeight="1" x14ac:dyDescent="0.15">
      <c r="A95" s="6" t="s">
        <v>1551</v>
      </c>
      <c r="B95" s="6" t="s">
        <v>878</v>
      </c>
      <c r="C95" s="6" t="s">
        <v>652</v>
      </c>
      <c r="D95" s="6" t="s">
        <v>672</v>
      </c>
      <c r="N95" s="333" t="str">
        <f t="shared" si="15"/>
        <v>--</v>
      </c>
      <c r="O95" s="333" t="str">
        <f t="shared" si="16"/>
        <v>--</v>
      </c>
      <c r="P95" s="6" t="s">
        <v>1596</v>
      </c>
      <c r="R95" s="6" t="s">
        <v>1008</v>
      </c>
      <c r="BA95" s="14" t="str">
        <f t="shared" si="17"/>
        <v/>
      </c>
      <c r="BC95" s="13" t="str">
        <f t="shared" si="18"/>
        <v/>
      </c>
    </row>
    <row r="96" spans="1:58" ht="12" customHeight="1" x14ac:dyDescent="0.15">
      <c r="P96" s="6"/>
    </row>
    <row r="97" spans="1:56" s="90" customFormat="1" ht="12" customHeight="1" x14ac:dyDescent="0.15">
      <c r="A97" s="51"/>
      <c r="B97" s="51"/>
      <c r="C97" s="51"/>
      <c r="D97" s="51"/>
      <c r="E97" s="51"/>
      <c r="F97" s="85"/>
      <c r="G97" s="86"/>
      <c r="H97" s="348"/>
      <c r="I97" s="348"/>
      <c r="J97" s="348"/>
      <c r="K97" s="348"/>
      <c r="L97" s="86"/>
      <c r="M97" s="86"/>
      <c r="N97" s="88"/>
      <c r="O97" s="349"/>
      <c r="P97" s="349"/>
      <c r="Q97" s="55"/>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13"/>
    </row>
    <row r="98" spans="1:56" ht="12" customHeight="1" x14ac:dyDescent="0.15">
      <c r="D98" s="110" t="s">
        <v>5479</v>
      </c>
      <c r="L98" s="21"/>
      <c r="M98" s="21"/>
      <c r="N98" s="8"/>
      <c r="O98" s="8"/>
      <c r="Q98" s="75"/>
      <c r="BA98" s="141"/>
      <c r="BD98" s="13"/>
    </row>
    <row r="99" spans="1:56" s="90" customFormat="1" ht="12" customHeight="1" x14ac:dyDescent="0.15">
      <c r="A99" s="70"/>
      <c r="B99" s="70"/>
      <c r="C99" s="70"/>
      <c r="D99" s="70"/>
      <c r="E99" s="70"/>
      <c r="F99" s="91"/>
      <c r="G99" s="122"/>
      <c r="H99" s="198"/>
      <c r="I99" s="198"/>
      <c r="J99" s="198"/>
      <c r="K99" s="198"/>
      <c r="L99" s="199"/>
      <c r="M99" s="199"/>
      <c r="N99" s="347"/>
      <c r="O99" s="347"/>
      <c r="P99" s="68"/>
      <c r="Q99" s="68"/>
      <c r="R99" s="70"/>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13"/>
      <c r="AU99" s="140"/>
      <c r="AV99" s="140"/>
      <c r="AW99" s="140"/>
      <c r="AX99" s="140"/>
      <c r="AY99" s="140"/>
      <c r="AZ99" s="140"/>
      <c r="BA99" s="141"/>
      <c r="BC99" s="140"/>
      <c r="BD99" s="141"/>
    </row>
    <row r="100" spans="1:56" ht="12" customHeight="1" x14ac:dyDescent="0.15">
      <c r="D100" s="110" t="s">
        <v>3480</v>
      </c>
      <c r="L100" s="21"/>
      <c r="M100" s="21"/>
      <c r="N100" s="8"/>
      <c r="O100" s="8"/>
      <c r="Q100" s="75"/>
      <c r="BA100" s="141"/>
      <c r="BD100" s="13"/>
    </row>
    <row r="101" spans="1:56" ht="12" customHeight="1" x14ac:dyDescent="0.15">
      <c r="P101" s="6"/>
      <c r="BC101" s="13" t="str">
        <f t="shared" si="18"/>
        <v/>
      </c>
    </row>
    <row r="102" spans="1:56" ht="12" customHeight="1" x14ac:dyDescent="0.15">
      <c r="G102" s="11" t="s">
        <v>1573</v>
      </c>
      <c r="H102" s="75">
        <f>COUNT(H$5:H$101)</f>
        <v>65</v>
      </c>
      <c r="J102" s="75">
        <f>60+66+64+51+34+16+14</f>
        <v>305</v>
      </c>
      <c r="P102" s="6"/>
    </row>
    <row r="103" spans="1:56" ht="12" customHeight="1" x14ac:dyDescent="0.15">
      <c r="G103" s="11" t="s">
        <v>1588</v>
      </c>
      <c r="H103" s="75">
        <f>BA103</f>
        <v>51</v>
      </c>
      <c r="J103" s="75">
        <f>51+51+53+43+24+12+3</f>
        <v>237</v>
      </c>
      <c r="P103" s="6"/>
      <c r="BA103" s="14">
        <f>SUM(BA2:BA96)</f>
        <v>51</v>
      </c>
    </row>
    <row r="104" spans="1:56" ht="12" customHeight="1" x14ac:dyDescent="0.15">
      <c r="G104" s="11" t="s">
        <v>1589</v>
      </c>
      <c r="H104" s="124">
        <f>H103/H102</f>
        <v>0.7846153846153846</v>
      </c>
      <c r="J104" s="124">
        <f>J103/J102</f>
        <v>0.77704918032786885</v>
      </c>
      <c r="P104" s="6"/>
    </row>
    <row r="105" spans="1:56" ht="12" customHeight="1" x14ac:dyDescent="0.15"/>
    <row r="106" spans="1:56" ht="12" customHeight="1" x14ac:dyDescent="0.15">
      <c r="A106" s="167"/>
      <c r="F106" s="105" t="s">
        <v>852</v>
      </c>
      <c r="G106" s="131">
        <f>SUM(G$4:G$101)/COUNT(G$4:G$101)</f>
        <v>173923.31034482759</v>
      </c>
      <c r="H106" s="132"/>
      <c r="I106" s="132"/>
      <c r="J106" s="132"/>
      <c r="K106" s="132"/>
      <c r="L106" s="204"/>
      <c r="M106" s="204"/>
      <c r="N106" s="204"/>
      <c r="O106" s="204"/>
      <c r="P106" s="133"/>
      <c r="Q106" s="133"/>
    </row>
    <row r="107" spans="1:56" ht="12" customHeight="1" x14ac:dyDescent="0.15">
      <c r="F107" s="105"/>
      <c r="G107" s="106"/>
      <c r="H107" s="132"/>
      <c r="I107" s="132"/>
      <c r="J107" s="132"/>
      <c r="K107" s="132"/>
      <c r="L107" s="204"/>
      <c r="M107" s="204"/>
      <c r="N107" s="204"/>
      <c r="O107" s="204"/>
      <c r="P107" s="133"/>
      <c r="Q107" s="133"/>
    </row>
    <row r="108" spans="1:56" ht="12" customHeight="1" x14ac:dyDescent="0.15">
      <c r="F108" s="105"/>
      <c r="G108" s="172" t="s">
        <v>1148</v>
      </c>
      <c r="H108" s="154">
        <f>SUM(H$5:H$101)</f>
        <v>1173</v>
      </c>
      <c r="I108" s="154">
        <f>SUM(I$5:I$101)</f>
        <v>230</v>
      </c>
      <c r="J108" s="154">
        <f>SUM(J$5:J$101)</f>
        <v>167</v>
      </c>
      <c r="K108" s="154">
        <f>SUM(K$5:K$101)</f>
        <v>160</v>
      </c>
      <c r="L108" s="205">
        <f>SUM(L$5:L$101)</f>
        <v>7823812</v>
      </c>
      <c r="M108" s="205"/>
      <c r="N108" s="205"/>
      <c r="O108" s="205"/>
      <c r="P108" s="155"/>
      <c r="Q108" s="155"/>
      <c r="R108" s="37" t="s">
        <v>361</v>
      </c>
    </row>
    <row r="109" spans="1:56" ht="12" customHeight="1" x14ac:dyDescent="0.15">
      <c r="F109" s="105"/>
      <c r="G109" s="173" t="s">
        <v>39</v>
      </c>
      <c r="H109" s="154"/>
      <c r="I109" s="154"/>
      <c r="J109" s="154"/>
      <c r="K109" s="154"/>
      <c r="L109" s="206">
        <f>L108/H108</f>
        <v>6669.9164535379368</v>
      </c>
      <c r="M109" s="206"/>
      <c r="N109" s="206"/>
      <c r="O109" s="206"/>
      <c r="P109" s="155"/>
      <c r="Q109" s="155"/>
      <c r="R109" s="37"/>
    </row>
    <row r="110" spans="1:56" ht="12" customHeight="1" x14ac:dyDescent="0.15">
      <c r="F110" s="71"/>
      <c r="G110" s="102" t="s">
        <v>1252</v>
      </c>
      <c r="H110" s="124">
        <f>I108/H108</f>
        <v>0.19607843137254902</v>
      </c>
    </row>
    <row r="111" spans="1:56" s="112" customFormat="1" ht="12" customHeight="1" x14ac:dyDescent="0.15">
      <c r="A111" s="110"/>
      <c r="B111" s="110"/>
      <c r="C111" s="110"/>
      <c r="D111" s="110"/>
      <c r="E111" s="110"/>
      <c r="F111" s="107"/>
      <c r="G111" s="102" t="s">
        <v>1253</v>
      </c>
      <c r="H111" s="124">
        <f>(SUM(I108:K108)/H108)</f>
        <v>0.47485080988917305</v>
      </c>
      <c r="I111" s="134"/>
      <c r="J111" s="134"/>
      <c r="K111" s="134"/>
      <c r="L111" s="168"/>
      <c r="M111" s="168"/>
      <c r="N111" s="168"/>
      <c r="O111" s="168"/>
      <c r="P111" s="159"/>
      <c r="Q111" s="159"/>
      <c r="R111" s="110"/>
      <c r="BA111" s="111"/>
      <c r="BD111" s="111"/>
    </row>
    <row r="112" spans="1:56" s="112" customFormat="1" ht="12" customHeight="1" x14ac:dyDescent="0.15">
      <c r="A112" s="126"/>
      <c r="B112" s="110"/>
      <c r="C112" s="110"/>
      <c r="D112" s="110"/>
      <c r="E112" s="110"/>
      <c r="F112" s="107"/>
      <c r="G112" s="102"/>
      <c r="H112" s="207"/>
      <c r="I112" s="134"/>
      <c r="J112" s="134"/>
      <c r="K112" s="134"/>
      <c r="L112" s="168"/>
      <c r="M112" s="168"/>
      <c r="N112" s="168"/>
      <c r="O112" s="168"/>
      <c r="P112" s="159"/>
      <c r="Q112" s="159"/>
      <c r="R112" s="110"/>
      <c r="BA112" s="111"/>
      <c r="BD112" s="111"/>
    </row>
    <row r="113" spans="1:56" s="112" customFormat="1" ht="12" customHeight="1" x14ac:dyDescent="0.15">
      <c r="A113" s="126" t="s">
        <v>612</v>
      </c>
      <c r="B113" s="110"/>
      <c r="C113" s="110"/>
      <c r="D113" s="110"/>
      <c r="E113" s="110"/>
      <c r="F113" s="107"/>
      <c r="G113" s="102"/>
      <c r="H113" s="207"/>
      <c r="I113" s="134"/>
      <c r="J113" s="134"/>
      <c r="K113" s="134"/>
      <c r="L113" s="168"/>
      <c r="M113" s="168"/>
      <c r="N113" s="168"/>
      <c r="O113" s="168"/>
      <c r="P113" s="159"/>
      <c r="Q113" s="159"/>
      <c r="R113" s="110"/>
      <c r="BA113" s="111"/>
      <c r="BD113" s="111"/>
    </row>
    <row r="114" spans="1:56" ht="12" customHeight="1" x14ac:dyDescent="0.15">
      <c r="A114" s="113"/>
      <c r="C114" s="6" t="s">
        <v>841</v>
      </c>
      <c r="D114" s="6" t="s">
        <v>445</v>
      </c>
      <c r="G114" s="34"/>
      <c r="H114" s="6"/>
      <c r="I114" s="6"/>
      <c r="J114" s="6"/>
      <c r="K114" s="6"/>
      <c r="L114" s="192"/>
      <c r="M114" s="192"/>
      <c r="N114" s="192"/>
      <c r="O114" s="192"/>
      <c r="R114" s="75" t="s">
        <v>1018</v>
      </c>
    </row>
    <row r="115" spans="1:56" ht="12" customHeight="1" x14ac:dyDescent="0.15">
      <c r="A115" s="113"/>
      <c r="C115" s="6" t="s">
        <v>874</v>
      </c>
      <c r="D115" s="6" t="s">
        <v>477</v>
      </c>
      <c r="G115" s="34"/>
      <c r="H115" s="6"/>
      <c r="I115" s="6"/>
      <c r="J115" s="6"/>
      <c r="K115" s="6"/>
      <c r="L115" s="192"/>
      <c r="M115" s="192"/>
      <c r="N115" s="192"/>
      <c r="O115" s="192"/>
      <c r="R115" s="75"/>
    </row>
    <row r="116" spans="1:56" ht="12" customHeight="1" x14ac:dyDescent="0.15">
      <c r="A116" s="113"/>
      <c r="C116" s="6" t="s">
        <v>897</v>
      </c>
      <c r="D116" s="6" t="s">
        <v>899</v>
      </c>
      <c r="G116" s="34"/>
      <c r="H116" s="6"/>
      <c r="I116" s="6"/>
      <c r="J116" s="6"/>
      <c r="K116" s="6"/>
      <c r="L116" s="192"/>
      <c r="M116" s="192"/>
      <c r="N116" s="192"/>
      <c r="O116" s="192"/>
      <c r="R116" s="75" t="s">
        <v>1073</v>
      </c>
    </row>
    <row r="117" spans="1:56" ht="12" customHeight="1" x14ac:dyDescent="0.15">
      <c r="A117" s="113"/>
      <c r="C117" s="6" t="s">
        <v>729</v>
      </c>
      <c r="D117" s="6" t="s">
        <v>699</v>
      </c>
      <c r="G117" s="34"/>
      <c r="H117" s="6"/>
      <c r="I117" s="6"/>
      <c r="J117" s="6"/>
      <c r="K117" s="6"/>
      <c r="L117" s="192"/>
      <c r="M117" s="192"/>
      <c r="N117" s="192"/>
      <c r="O117" s="192"/>
      <c r="R117" s="75" t="s">
        <v>1073</v>
      </c>
    </row>
    <row r="118" spans="1:56" ht="12" customHeight="1" x14ac:dyDescent="0.15">
      <c r="A118" s="113"/>
      <c r="C118" s="6" t="s">
        <v>661</v>
      </c>
      <c r="D118" s="6" t="s">
        <v>1043</v>
      </c>
      <c r="G118" s="34"/>
      <c r="H118" s="6"/>
      <c r="I118" s="6"/>
      <c r="J118" s="6"/>
      <c r="K118" s="6"/>
      <c r="L118" s="192"/>
      <c r="M118" s="192"/>
      <c r="N118" s="192"/>
      <c r="O118" s="192"/>
      <c r="R118" s="75" t="s">
        <v>1018</v>
      </c>
    </row>
    <row r="119" spans="1:56" ht="12" customHeight="1" x14ac:dyDescent="0.15">
      <c r="A119" s="113"/>
      <c r="C119" s="6" t="s">
        <v>885</v>
      </c>
      <c r="D119" s="6" t="s">
        <v>1031</v>
      </c>
      <c r="G119" s="34"/>
      <c r="H119" s="6"/>
      <c r="I119" s="6"/>
      <c r="J119" s="6"/>
      <c r="K119" s="6"/>
      <c r="L119" s="192"/>
      <c r="M119" s="192"/>
      <c r="N119" s="192"/>
      <c r="O119" s="192"/>
      <c r="R119" s="75" t="s">
        <v>1018</v>
      </c>
    </row>
    <row r="120" spans="1:56" ht="12" customHeight="1" x14ac:dyDescent="0.15">
      <c r="A120" s="113"/>
      <c r="C120" s="6" t="s">
        <v>887</v>
      </c>
      <c r="D120" s="6" t="s">
        <v>532</v>
      </c>
      <c r="G120" s="34"/>
      <c r="H120" s="6"/>
      <c r="I120" s="6"/>
      <c r="J120" s="6"/>
      <c r="K120" s="6"/>
      <c r="L120" s="192"/>
      <c r="M120" s="192"/>
      <c r="N120" s="192"/>
      <c r="O120" s="192"/>
      <c r="R120" s="75" t="s">
        <v>1073</v>
      </c>
    </row>
    <row r="121" spans="1:56" ht="12" customHeight="1" x14ac:dyDescent="0.15">
      <c r="A121" s="113"/>
      <c r="C121" s="6" t="s">
        <v>1032</v>
      </c>
      <c r="D121" s="6" t="s">
        <v>1067</v>
      </c>
    </row>
    <row r="122" spans="1:56" ht="12" customHeight="1" x14ac:dyDescent="0.15">
      <c r="A122" s="113"/>
      <c r="C122" s="6" t="s">
        <v>557</v>
      </c>
      <c r="D122" s="6" t="s">
        <v>558</v>
      </c>
    </row>
    <row r="123" spans="1:56" ht="12" customHeight="1" x14ac:dyDescent="0.15">
      <c r="A123" s="113"/>
      <c r="C123" s="6" t="s">
        <v>512</v>
      </c>
      <c r="D123" s="6" t="s">
        <v>824</v>
      </c>
    </row>
    <row r="124" spans="1:56" ht="12" customHeight="1" x14ac:dyDescent="0.15">
      <c r="A124" s="113"/>
      <c r="C124" s="6" t="s">
        <v>513</v>
      </c>
      <c r="D124" s="6" t="s">
        <v>1043</v>
      </c>
      <c r="G124" s="34"/>
      <c r="H124" s="6"/>
      <c r="I124" s="6"/>
      <c r="J124" s="6"/>
      <c r="K124" s="6"/>
      <c r="L124" s="192"/>
      <c r="M124" s="192"/>
      <c r="N124" s="192"/>
      <c r="O124" s="192"/>
      <c r="R124" s="75" t="s">
        <v>991</v>
      </c>
    </row>
    <row r="125" spans="1:56" ht="12" customHeight="1" x14ac:dyDescent="0.15">
      <c r="A125" s="113"/>
      <c r="C125" s="6" t="s">
        <v>891</v>
      </c>
      <c r="D125" s="6" t="s">
        <v>865</v>
      </c>
      <c r="G125" s="34"/>
      <c r="H125" s="6"/>
      <c r="I125" s="6"/>
      <c r="J125" s="6"/>
      <c r="K125" s="6"/>
      <c r="L125" s="192"/>
      <c r="M125" s="192"/>
      <c r="N125" s="192"/>
      <c r="O125" s="192"/>
      <c r="R125" s="75" t="s">
        <v>1018</v>
      </c>
    </row>
    <row r="126" spans="1:56" ht="12" customHeight="1" x14ac:dyDescent="0.15">
      <c r="A126" s="113"/>
      <c r="C126" s="6" t="s">
        <v>955</v>
      </c>
      <c r="D126" s="6" t="s">
        <v>608</v>
      </c>
      <c r="G126" s="34"/>
      <c r="H126" s="6"/>
      <c r="I126" s="6"/>
      <c r="J126" s="6"/>
      <c r="K126" s="6"/>
      <c r="L126" s="192"/>
      <c r="M126" s="192"/>
      <c r="N126" s="192"/>
      <c r="O126" s="192"/>
      <c r="R126" s="75" t="s">
        <v>1018</v>
      </c>
    </row>
    <row r="127" spans="1:56" ht="12" customHeight="1" x14ac:dyDescent="0.15">
      <c r="A127" s="113"/>
      <c r="C127" s="6" t="s">
        <v>778</v>
      </c>
      <c r="D127" s="6" t="s">
        <v>610</v>
      </c>
      <c r="G127" s="34"/>
      <c r="H127" s="6"/>
      <c r="I127" s="6"/>
      <c r="J127" s="6"/>
      <c r="K127" s="6"/>
      <c r="L127" s="192"/>
      <c r="M127" s="192"/>
      <c r="N127" s="192"/>
      <c r="O127" s="192"/>
      <c r="R127" s="75"/>
    </row>
    <row r="128" spans="1:56" ht="12" customHeight="1" x14ac:dyDescent="0.15">
      <c r="A128" s="113"/>
      <c r="C128" s="6" t="s">
        <v>947</v>
      </c>
      <c r="D128" s="6" t="s">
        <v>459</v>
      </c>
      <c r="G128" s="34"/>
      <c r="H128" s="6"/>
      <c r="I128" s="6"/>
      <c r="J128" s="6"/>
      <c r="K128" s="6"/>
      <c r="L128" s="192"/>
      <c r="M128" s="192"/>
      <c r="N128" s="192"/>
      <c r="O128" s="192"/>
      <c r="R128" s="75" t="s">
        <v>986</v>
      </c>
    </row>
    <row r="129" spans="1:18" ht="12" customHeight="1" x14ac:dyDescent="0.15">
      <c r="A129" s="113"/>
      <c r="C129" s="6" t="s">
        <v>856</v>
      </c>
      <c r="D129" s="6" t="s">
        <v>951</v>
      </c>
      <c r="G129" s="34"/>
      <c r="H129" s="6"/>
      <c r="I129" s="6"/>
      <c r="J129" s="6"/>
      <c r="K129" s="6"/>
      <c r="L129" s="192"/>
      <c r="M129" s="192"/>
      <c r="N129" s="192"/>
      <c r="O129" s="192"/>
      <c r="R129" s="75"/>
    </row>
    <row r="130" spans="1:18" ht="12" customHeight="1" x14ac:dyDescent="0.15">
      <c r="A130" s="113"/>
      <c r="C130" s="6" t="s">
        <v>805</v>
      </c>
      <c r="D130" s="6" t="s">
        <v>884</v>
      </c>
      <c r="G130" s="34"/>
      <c r="H130" s="6"/>
      <c r="I130" s="6"/>
      <c r="J130" s="6"/>
      <c r="K130" s="6"/>
      <c r="L130" s="192"/>
      <c r="M130" s="192"/>
      <c r="N130" s="192"/>
      <c r="O130" s="192"/>
      <c r="R130" s="75" t="s">
        <v>1073</v>
      </c>
    </row>
    <row r="131" spans="1:18" ht="12" customHeight="1" x14ac:dyDescent="0.15">
      <c r="A131" s="113"/>
      <c r="C131" s="6" t="s">
        <v>941</v>
      </c>
      <c r="D131" s="6" t="s">
        <v>864</v>
      </c>
      <c r="G131" s="34"/>
      <c r="H131" s="6"/>
      <c r="I131" s="6"/>
      <c r="J131" s="6"/>
      <c r="K131" s="6"/>
      <c r="L131" s="192"/>
      <c r="M131" s="192"/>
      <c r="N131" s="192"/>
      <c r="O131" s="192"/>
      <c r="R131" s="75" t="s">
        <v>502</v>
      </c>
    </row>
    <row r="132" spans="1:18" ht="12" customHeight="1" x14ac:dyDescent="0.15">
      <c r="A132" s="113"/>
      <c r="C132" s="6" t="s">
        <v>573</v>
      </c>
      <c r="D132" s="6" t="s">
        <v>574</v>
      </c>
      <c r="G132" s="34"/>
      <c r="H132" s="6"/>
      <c r="I132" s="6"/>
      <c r="J132" s="6"/>
      <c r="K132" s="6"/>
      <c r="L132" s="192"/>
      <c r="M132" s="192"/>
      <c r="N132" s="192"/>
      <c r="O132" s="192"/>
      <c r="R132" s="75"/>
    </row>
    <row r="133" spans="1:18" ht="12" customHeight="1" x14ac:dyDescent="0.15">
      <c r="A133" s="113"/>
      <c r="C133" s="6" t="s">
        <v>641</v>
      </c>
      <c r="D133" s="6" t="s">
        <v>672</v>
      </c>
      <c r="G133" s="34"/>
      <c r="H133" s="6"/>
      <c r="I133" s="6"/>
      <c r="J133" s="6"/>
      <c r="K133" s="6"/>
      <c r="L133" s="192"/>
      <c r="M133" s="192"/>
      <c r="N133" s="192"/>
      <c r="O133" s="192"/>
      <c r="R133" s="75" t="s">
        <v>907</v>
      </c>
    </row>
    <row r="134" spans="1:18" ht="12" customHeight="1" x14ac:dyDescent="0.15">
      <c r="A134" s="113"/>
      <c r="C134" s="6" t="s">
        <v>857</v>
      </c>
      <c r="D134" s="6" t="s">
        <v>858</v>
      </c>
    </row>
    <row r="135" spans="1:18" ht="12" customHeight="1" x14ac:dyDescent="0.15">
      <c r="A135" s="113"/>
      <c r="C135" s="6" t="s">
        <v>799</v>
      </c>
      <c r="D135" s="6" t="s">
        <v>515</v>
      </c>
    </row>
    <row r="136" spans="1:18" ht="12" customHeight="1" x14ac:dyDescent="0.15"/>
    <row r="137" spans="1:18" ht="12" customHeight="1" x14ac:dyDescent="0.15"/>
    <row r="138" spans="1:18" ht="12" customHeight="1" x14ac:dyDescent="0.15">
      <c r="A138" s="135" t="s">
        <v>585</v>
      </c>
    </row>
    <row r="139" spans="1:18" ht="12" customHeight="1" x14ac:dyDescent="0.15"/>
    <row r="140" spans="1:18" ht="12" customHeight="1" x14ac:dyDescent="0.15"/>
    <row r="141" spans="1:18" ht="12" customHeight="1" x14ac:dyDescent="0.15"/>
    <row r="142" spans="1:18" ht="12" customHeight="1" x14ac:dyDescent="0.15"/>
    <row r="143" spans="1:18" ht="12" customHeight="1" x14ac:dyDescent="0.15"/>
    <row r="144" spans="1:18"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sheetData>
  <sortState ref="A32:BD99">
    <sortCondition ref="L43:L68"/>
  </sortState>
  <phoneticPr fontId="2" type="noConversion"/>
  <pageMargins left="0.75" right="0.75" top="1" bottom="1" header="0.5" footer="0.5"/>
  <pageSetup orientation="portrait"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2"/>
  <sheetViews>
    <sheetView workbookViewId="0">
      <pane ySplit="3" topLeftCell="A4" activePane="bottomLeft" state="frozen"/>
      <selection pane="bottomLeft" activeCell="P9" sqref="P9"/>
    </sheetView>
  </sheetViews>
  <sheetFormatPr baseColWidth="10" defaultColWidth="9.1640625" defaultRowHeight="12" x14ac:dyDescent="0.15"/>
  <cols>
    <col min="1" max="1" width="18.33203125" style="6" customWidth="1"/>
    <col min="2" max="2" width="12.83203125" style="6" customWidth="1"/>
    <col min="3" max="3" width="19.5" style="6" customWidth="1"/>
    <col min="4" max="5" width="17.1640625" style="6" customWidth="1"/>
    <col min="6" max="6" width="10.5" style="101" customWidth="1"/>
    <col min="7" max="7" width="12.33203125" style="102" customWidth="1"/>
    <col min="8" max="8" width="6.1640625" style="75" customWidth="1"/>
    <col min="9" max="9" width="4.1640625" style="75" customWidth="1"/>
    <col min="10" max="11" width="4.5" style="75" customWidth="1"/>
    <col min="12" max="12" width="13.1640625" style="102" customWidth="1"/>
    <col min="13" max="14" width="5.33203125" style="102" customWidth="1"/>
    <col min="15" max="15" width="10.5" style="102" customWidth="1"/>
    <col min="16" max="16" width="14.83203125" style="7" customWidth="1"/>
    <col min="17" max="17" width="11.83203125" style="7" customWidth="1"/>
    <col min="18" max="18" width="9.1640625" style="6"/>
    <col min="19" max="19" width="2.6640625" style="13" customWidth="1"/>
    <col min="20" max="20" width="9.1640625" style="13"/>
    <col min="21" max="21" width="11.5" style="13" customWidth="1"/>
    <col min="22" max="22" width="9.1640625" style="13"/>
    <col min="23" max="23" width="2.6640625" style="13" customWidth="1"/>
    <col min="24" max="52" width="9.1640625" style="13"/>
    <col min="53" max="53" width="9.1640625" style="14"/>
    <col min="54" max="16384" width="9.1640625" style="13"/>
  </cols>
  <sheetData>
    <row r="1" spans="1:53" ht="12" customHeight="1" x14ac:dyDescent="0.15">
      <c r="A1" s="6" t="s">
        <v>1949</v>
      </c>
    </row>
    <row r="2" spans="1:53" ht="12" customHeight="1" x14ac:dyDescent="0.15">
      <c r="A2" s="72"/>
      <c r="F2" s="73"/>
      <c r="G2" s="176" t="s">
        <v>436</v>
      </c>
      <c r="K2" s="76"/>
      <c r="L2" s="176" t="s">
        <v>624</v>
      </c>
      <c r="M2" s="176"/>
      <c r="N2" s="176"/>
      <c r="O2" s="176"/>
      <c r="T2" s="38"/>
      <c r="AB2" s="77"/>
    </row>
    <row r="3" spans="1:53" s="84" customFormat="1" ht="44" customHeight="1" thickBot="1" x14ac:dyDescent="0.2">
      <c r="A3" s="78" t="s">
        <v>720</v>
      </c>
      <c r="B3" s="78" t="s">
        <v>710</v>
      </c>
      <c r="C3" s="78" t="s">
        <v>844</v>
      </c>
      <c r="D3" s="78" t="s">
        <v>670</v>
      </c>
      <c r="E3" s="78" t="s">
        <v>310</v>
      </c>
      <c r="F3" s="79" t="s">
        <v>845</v>
      </c>
      <c r="G3" s="80" t="s">
        <v>635</v>
      </c>
      <c r="H3" s="81" t="s">
        <v>392</v>
      </c>
      <c r="I3" s="81" t="s">
        <v>393</v>
      </c>
      <c r="J3" s="81" t="s">
        <v>394</v>
      </c>
      <c r="K3" s="81" t="s">
        <v>395</v>
      </c>
      <c r="L3" s="80" t="s">
        <v>647</v>
      </c>
      <c r="M3" s="190" t="s">
        <v>2301</v>
      </c>
      <c r="N3" s="190" t="s">
        <v>2302</v>
      </c>
      <c r="O3" s="80" t="s">
        <v>1977</v>
      </c>
      <c r="P3" s="81" t="s">
        <v>1242</v>
      </c>
      <c r="Q3" s="81" t="s">
        <v>1263</v>
      </c>
      <c r="R3" s="78" t="s">
        <v>669</v>
      </c>
      <c r="S3" s="162"/>
      <c r="T3" s="162"/>
      <c r="BA3" s="163"/>
    </row>
    <row r="4" spans="1:53" ht="12" customHeight="1" thickTop="1" x14ac:dyDescent="0.15">
      <c r="G4" s="96"/>
      <c r="H4" s="103"/>
      <c r="I4" s="103"/>
      <c r="J4" s="103"/>
      <c r="K4" s="103"/>
      <c r="L4" s="96"/>
      <c r="M4" s="96"/>
      <c r="N4" s="96"/>
      <c r="O4" s="96"/>
      <c r="P4" s="149"/>
      <c r="Q4" s="149"/>
      <c r="BA4" s="141" t="str">
        <f>IF(I4="","",IF(I4=0,0,1))</f>
        <v/>
      </c>
    </row>
    <row r="5" spans="1:53" ht="12" customHeight="1" x14ac:dyDescent="0.15">
      <c r="A5" s="110" t="s">
        <v>417</v>
      </c>
      <c r="G5" s="96"/>
      <c r="H5" s="103"/>
      <c r="I5" s="103"/>
      <c r="J5" s="103"/>
      <c r="K5" s="103"/>
      <c r="L5" s="96"/>
      <c r="M5" s="96"/>
      <c r="N5" s="96"/>
      <c r="O5" s="96"/>
      <c r="P5" s="149"/>
      <c r="Q5" s="149"/>
      <c r="BA5" s="141" t="str">
        <f>IF(I5="","",IF(I5=0,0,1))</f>
        <v/>
      </c>
    </row>
    <row r="6" spans="1:53" ht="12" customHeight="1" x14ac:dyDescent="0.15">
      <c r="P6" s="75"/>
      <c r="Q6" s="75"/>
      <c r="BA6" s="141"/>
    </row>
    <row r="7" spans="1:53" s="112" customFormat="1" ht="12" customHeight="1" x14ac:dyDescent="0.15">
      <c r="A7" s="110" t="s">
        <v>1699</v>
      </c>
      <c r="B7" s="110"/>
      <c r="C7" s="110"/>
      <c r="D7" s="110"/>
      <c r="E7" s="110"/>
      <c r="F7" s="107"/>
      <c r="G7" s="108"/>
      <c r="H7" s="134"/>
      <c r="I7" s="134"/>
      <c r="J7" s="134"/>
      <c r="K7" s="134"/>
      <c r="L7" s="108"/>
      <c r="M7" s="108"/>
      <c r="N7" s="108"/>
      <c r="O7" s="108"/>
      <c r="P7" s="134"/>
      <c r="Q7" s="134"/>
      <c r="R7" s="110"/>
      <c r="BA7" s="141" t="str">
        <f>IF(I7="","",IF(I7=0,0,1))</f>
        <v/>
      </c>
    </row>
    <row r="8" spans="1:53" ht="12" customHeight="1" x14ac:dyDescent="0.15">
      <c r="L8" s="136"/>
      <c r="M8" s="136"/>
      <c r="N8" s="136"/>
      <c r="O8" s="136"/>
      <c r="BA8" s="14" t="str">
        <f>IF(I8="","",IF(I8&gt;0,1,0))</f>
        <v/>
      </c>
    </row>
    <row r="9" spans="1:53" s="112" customFormat="1" ht="12" customHeight="1" x14ac:dyDescent="0.15">
      <c r="A9" s="110" t="s">
        <v>1698</v>
      </c>
      <c r="B9" s="110"/>
      <c r="C9" s="110"/>
      <c r="D9" s="110"/>
      <c r="E9" s="110"/>
      <c r="F9" s="107"/>
      <c r="G9" s="108"/>
      <c r="H9" s="134"/>
      <c r="I9" s="134"/>
      <c r="J9" s="134"/>
      <c r="K9" s="134"/>
      <c r="L9" s="168"/>
      <c r="M9" s="168"/>
      <c r="N9" s="168"/>
      <c r="O9" s="168"/>
      <c r="P9" s="159"/>
      <c r="Q9" s="159"/>
      <c r="R9" s="110"/>
      <c r="BA9" s="111" t="str">
        <f>IF(I9="","",IF(I9&gt;0,1,0))</f>
        <v/>
      </c>
    </row>
    <row r="10" spans="1:53" ht="12" customHeight="1" x14ac:dyDescent="0.15">
      <c r="BA10" s="141" t="str">
        <f t="shared" ref="BA10:BA15" si="0">IF(I10="","",IF(I10=0,0,1))</f>
        <v/>
      </c>
    </row>
    <row r="11" spans="1:53" s="112" customFormat="1" ht="12" customHeight="1" x14ac:dyDescent="0.15">
      <c r="A11" s="110" t="s">
        <v>1696</v>
      </c>
      <c r="B11" s="110"/>
      <c r="C11" s="110"/>
      <c r="D11" s="110"/>
      <c r="E11" s="110"/>
      <c r="F11" s="107"/>
      <c r="G11" s="108"/>
      <c r="H11" s="134"/>
      <c r="I11" s="134"/>
      <c r="J11" s="134"/>
      <c r="K11" s="134"/>
      <c r="L11" s="108"/>
      <c r="M11" s="108"/>
      <c r="N11" s="108"/>
      <c r="O11" s="108"/>
      <c r="P11" s="159"/>
      <c r="Q11" s="159"/>
      <c r="R11" s="110"/>
      <c r="BA11" s="141" t="str">
        <f t="shared" si="0"/>
        <v/>
      </c>
    </row>
    <row r="12" spans="1:53" s="140" customFormat="1" ht="12" customHeight="1" x14ac:dyDescent="0.15">
      <c r="A12" s="58" t="s">
        <v>1119</v>
      </c>
      <c r="B12" s="58" t="s">
        <v>969</v>
      </c>
      <c r="C12" s="58" t="s">
        <v>877</v>
      </c>
      <c r="D12" s="58" t="s">
        <v>937</v>
      </c>
      <c r="E12" s="58" t="s">
        <v>284</v>
      </c>
      <c r="F12" s="137">
        <v>39159</v>
      </c>
      <c r="G12" s="138">
        <v>350000</v>
      </c>
      <c r="H12" s="139">
        <v>37</v>
      </c>
      <c r="I12" s="139">
        <v>8</v>
      </c>
      <c r="J12" s="139">
        <v>7</v>
      </c>
      <c r="K12" s="139">
        <v>3</v>
      </c>
      <c r="L12" s="138">
        <f>158993+1740+6600+450+600+15000+15000+3000+500+2500+500+3500+7500+0+0+3000+3750+2000+11700</f>
        <v>236333</v>
      </c>
      <c r="M12" s="330">
        <f>I12/H12</f>
        <v>0.21621621621621623</v>
      </c>
      <c r="N12" s="330">
        <f>SUM(I12:K12)/H12</f>
        <v>0.48648648648648651</v>
      </c>
      <c r="O12" s="138">
        <f>L12/H12</f>
        <v>6387.3783783783783</v>
      </c>
      <c r="P12" s="56" t="s">
        <v>3393</v>
      </c>
      <c r="Q12" s="56" t="s">
        <v>1313</v>
      </c>
      <c r="R12" s="139" t="s">
        <v>4386</v>
      </c>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BA12" s="141">
        <f>IF(I12="","",IF(I12=0,0,1))</f>
        <v>1</v>
      </c>
    </row>
    <row r="13" spans="1:53" ht="12" customHeight="1" x14ac:dyDescent="0.15">
      <c r="BA13" s="141" t="str">
        <f t="shared" si="0"/>
        <v/>
      </c>
    </row>
    <row r="14" spans="1:53" s="112" customFormat="1" ht="12" customHeight="1" x14ac:dyDescent="0.15">
      <c r="A14" s="110" t="s">
        <v>1697</v>
      </c>
      <c r="B14" s="110"/>
      <c r="C14" s="110"/>
      <c r="D14" s="110"/>
      <c r="E14" s="110"/>
      <c r="F14" s="107"/>
      <c r="G14" s="108"/>
      <c r="H14" s="134"/>
      <c r="I14" s="134"/>
      <c r="J14" s="134"/>
      <c r="K14" s="134"/>
      <c r="L14" s="108"/>
      <c r="M14" s="108"/>
      <c r="N14" s="108"/>
      <c r="O14" s="108"/>
      <c r="P14" s="159"/>
      <c r="Q14" s="159"/>
      <c r="R14" s="110"/>
      <c r="BA14" s="141" t="str">
        <f t="shared" si="0"/>
        <v/>
      </c>
    </row>
    <row r="15" spans="1:53" s="140" customFormat="1" ht="12" customHeight="1" x14ac:dyDescent="0.15">
      <c r="A15" s="58" t="s">
        <v>860</v>
      </c>
      <c r="B15" s="58" t="s">
        <v>713</v>
      </c>
      <c r="C15" s="58" t="s">
        <v>806</v>
      </c>
      <c r="D15" s="58" t="s">
        <v>890</v>
      </c>
      <c r="E15" s="58" t="s">
        <v>185</v>
      </c>
      <c r="F15" s="137">
        <v>39152</v>
      </c>
      <c r="G15" s="138">
        <v>150000</v>
      </c>
      <c r="H15" s="139">
        <v>34</v>
      </c>
      <c r="I15" s="139">
        <v>9</v>
      </c>
      <c r="J15" s="139">
        <v>6</v>
      </c>
      <c r="K15" s="139">
        <v>6</v>
      </c>
      <c r="L15" s="138">
        <f>85595+6960+1600+6600+2800+900+1400</f>
        <v>105855</v>
      </c>
      <c r="M15" s="330">
        <f>I15/H15</f>
        <v>0.26470588235294118</v>
      </c>
      <c r="N15" s="330">
        <f>SUM(I15:K15)/H15</f>
        <v>0.61764705882352944</v>
      </c>
      <c r="O15" s="138">
        <f>L15/H15</f>
        <v>3113.3823529411766</v>
      </c>
      <c r="P15" s="56" t="s">
        <v>2117</v>
      </c>
      <c r="Q15" s="56" t="s">
        <v>1552</v>
      </c>
      <c r="R15" s="139" t="s">
        <v>1176</v>
      </c>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BA15" s="141">
        <f t="shared" si="0"/>
        <v>1</v>
      </c>
    </row>
    <row r="16" spans="1:53" ht="12" customHeight="1" x14ac:dyDescent="0.15">
      <c r="BA16" s="141" t="str">
        <f t="shared" ref="BA16:BA22" si="1">IF(I16="","",IF(I16=0,0,1))</f>
        <v/>
      </c>
    </row>
    <row r="17" spans="1:53" s="112" customFormat="1" ht="12" customHeight="1" x14ac:dyDescent="0.15">
      <c r="A17" s="110" t="s">
        <v>1850</v>
      </c>
      <c r="B17" s="110"/>
      <c r="C17" s="110"/>
      <c r="D17" s="110"/>
      <c r="E17" s="110"/>
      <c r="F17" s="107"/>
      <c r="G17" s="108"/>
      <c r="H17" s="134"/>
      <c r="I17" s="134"/>
      <c r="J17" s="134"/>
      <c r="K17" s="134"/>
      <c r="L17" s="108"/>
      <c r="M17" s="108"/>
      <c r="N17" s="108"/>
      <c r="O17" s="108"/>
      <c r="P17" s="159"/>
      <c r="Q17" s="159"/>
      <c r="R17" s="110"/>
      <c r="BA17" s="141" t="str">
        <f t="shared" si="1"/>
        <v/>
      </c>
    </row>
    <row r="18" spans="1:53" s="140" customFormat="1" ht="12" customHeight="1" x14ac:dyDescent="0.15">
      <c r="A18" s="58" t="s">
        <v>410</v>
      </c>
      <c r="B18" s="58" t="s">
        <v>1511</v>
      </c>
      <c r="C18" s="58" t="s">
        <v>1022</v>
      </c>
      <c r="D18" s="58" t="s">
        <v>1001</v>
      </c>
      <c r="E18" s="58" t="s">
        <v>239</v>
      </c>
      <c r="F18" s="137">
        <v>39188</v>
      </c>
      <c r="G18" s="138">
        <v>20000</v>
      </c>
      <c r="H18" s="139">
        <v>14</v>
      </c>
      <c r="I18" s="139">
        <v>2</v>
      </c>
      <c r="J18" s="139">
        <v>2</v>
      </c>
      <c r="K18" s="139">
        <v>1</v>
      </c>
      <c r="L18" s="138">
        <f>148+235+113+163+1610</f>
        <v>2269</v>
      </c>
      <c r="M18" s="330">
        <f>I18/H18</f>
        <v>0.14285714285714285</v>
      </c>
      <c r="N18" s="330">
        <f>SUM(I18:K18)/H18</f>
        <v>0.35714285714285715</v>
      </c>
      <c r="O18" s="138">
        <f>L18/H18</f>
        <v>162.07142857142858</v>
      </c>
      <c r="P18" s="56" t="s">
        <v>1689</v>
      </c>
      <c r="Q18" s="56"/>
      <c r="R18" s="58" t="s">
        <v>3349</v>
      </c>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BA18" s="141">
        <f>IF(I18="","",IF(I18=0,0,1))</f>
        <v>1</v>
      </c>
    </row>
    <row r="19" spans="1:53" s="140" customFormat="1" ht="12" customHeight="1" x14ac:dyDescent="0.15">
      <c r="A19" s="58" t="s">
        <v>1081</v>
      </c>
      <c r="B19" s="58" t="s">
        <v>1513</v>
      </c>
      <c r="C19" s="58" t="s">
        <v>745</v>
      </c>
      <c r="D19" s="58" t="s">
        <v>435</v>
      </c>
      <c r="E19" s="58" t="s">
        <v>175</v>
      </c>
      <c r="F19" s="137">
        <v>39139</v>
      </c>
      <c r="G19" s="138">
        <v>9000</v>
      </c>
      <c r="H19" s="139">
        <v>9</v>
      </c>
      <c r="I19" s="139">
        <v>1</v>
      </c>
      <c r="J19" s="139">
        <v>1</v>
      </c>
      <c r="K19" s="139">
        <v>2</v>
      </c>
      <c r="L19" s="138">
        <f>1832+286+285+82+337+111</f>
        <v>2933</v>
      </c>
      <c r="M19" s="330">
        <f>I19/H19</f>
        <v>0.1111111111111111</v>
      </c>
      <c r="N19" s="330">
        <f>SUM(I19:K19)/H19</f>
        <v>0.44444444444444442</v>
      </c>
      <c r="O19" s="138">
        <f>L19/H19</f>
        <v>325.88888888888891</v>
      </c>
      <c r="P19" s="56" t="s">
        <v>1604</v>
      </c>
      <c r="Q19" s="56" t="s">
        <v>330</v>
      </c>
      <c r="R19" s="139" t="s">
        <v>2345</v>
      </c>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BA19" s="141">
        <f t="shared" si="1"/>
        <v>1</v>
      </c>
    </row>
    <row r="20" spans="1:53" s="140" customFormat="1" ht="12" customHeight="1" x14ac:dyDescent="0.15">
      <c r="A20" s="58" t="s">
        <v>362</v>
      </c>
      <c r="B20" s="58" t="s">
        <v>713</v>
      </c>
      <c r="C20" s="58" t="s">
        <v>1301</v>
      </c>
      <c r="D20" s="58" t="s">
        <v>1302</v>
      </c>
      <c r="E20" s="58" t="s">
        <v>132</v>
      </c>
      <c r="F20" s="137">
        <v>39193</v>
      </c>
      <c r="G20" s="138">
        <v>32575</v>
      </c>
      <c r="H20" s="139">
        <v>7</v>
      </c>
      <c r="I20" s="139">
        <v>1</v>
      </c>
      <c r="J20" s="139">
        <v>0</v>
      </c>
      <c r="K20" s="139">
        <v>0</v>
      </c>
      <c r="L20" s="138">
        <f>216+3028</f>
        <v>3244</v>
      </c>
      <c r="M20" s="330">
        <f>I20/H20</f>
        <v>0.14285714285714285</v>
      </c>
      <c r="N20" s="330">
        <f>SUM(I20:K20)/H20</f>
        <v>0.14285714285714285</v>
      </c>
      <c r="O20" s="138">
        <f>L20/H20</f>
        <v>463.42857142857144</v>
      </c>
      <c r="P20" s="56" t="s">
        <v>1604</v>
      </c>
      <c r="Q20" s="56"/>
      <c r="R20" s="58" t="s">
        <v>2419</v>
      </c>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BA20" s="141">
        <f t="shared" si="1"/>
        <v>1</v>
      </c>
    </row>
    <row r="21" spans="1:53" s="140" customFormat="1" ht="12" customHeight="1" x14ac:dyDescent="0.15">
      <c r="A21" s="58" t="s">
        <v>92</v>
      </c>
      <c r="B21" s="58" t="s">
        <v>111</v>
      </c>
      <c r="C21" s="58" t="s">
        <v>804</v>
      </c>
      <c r="D21" s="58" t="s">
        <v>1074</v>
      </c>
      <c r="E21" s="58" t="s">
        <v>214</v>
      </c>
      <c r="F21" s="137">
        <v>39145</v>
      </c>
      <c r="G21" s="138"/>
      <c r="H21" s="139">
        <v>11</v>
      </c>
      <c r="I21" s="139">
        <v>3</v>
      </c>
      <c r="J21" s="139">
        <v>2</v>
      </c>
      <c r="K21" s="139">
        <v>2</v>
      </c>
      <c r="L21" s="138">
        <f>2422+2800</f>
        <v>5222</v>
      </c>
      <c r="M21" s="330">
        <f t="shared" ref="M21:M81" si="2">I21/H21</f>
        <v>0.27272727272727271</v>
      </c>
      <c r="N21" s="330">
        <f t="shared" ref="N21:N81" si="3">SUM(I21:K21)/H21</f>
        <v>0.63636363636363635</v>
      </c>
      <c r="O21" s="138">
        <f>L21/H21</f>
        <v>474.72727272727275</v>
      </c>
      <c r="P21" s="56" t="s">
        <v>1604</v>
      </c>
      <c r="Q21" s="56"/>
      <c r="R21" s="58" t="s">
        <v>2109</v>
      </c>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BA21" s="141">
        <f t="shared" si="1"/>
        <v>1</v>
      </c>
    </row>
    <row r="22" spans="1:53" s="140" customFormat="1" ht="12" customHeight="1" x14ac:dyDescent="0.15">
      <c r="A22" s="58" t="s">
        <v>335</v>
      </c>
      <c r="B22" s="58" t="s">
        <v>1830</v>
      </c>
      <c r="C22" s="58" t="s">
        <v>889</v>
      </c>
      <c r="D22" s="58" t="s">
        <v>888</v>
      </c>
      <c r="E22" s="58" t="s">
        <v>274</v>
      </c>
      <c r="F22" s="137">
        <v>39319</v>
      </c>
      <c r="G22" s="138"/>
      <c r="H22" s="139">
        <v>7</v>
      </c>
      <c r="I22" s="139">
        <v>1</v>
      </c>
      <c r="J22" s="139">
        <v>1</v>
      </c>
      <c r="K22" s="139">
        <v>1</v>
      </c>
      <c r="L22" s="138">
        <f>425+780+4227+0+1255</f>
        <v>6687</v>
      </c>
      <c r="M22" s="330">
        <f>I22/H22</f>
        <v>0.14285714285714285</v>
      </c>
      <c r="N22" s="330">
        <f>SUM(I22:K22)/H22</f>
        <v>0.42857142857142855</v>
      </c>
      <c r="O22" s="138">
        <f>L22/H22</f>
        <v>955.28571428571433</v>
      </c>
      <c r="P22" s="56" t="s">
        <v>1689</v>
      </c>
      <c r="Q22" s="56" t="s">
        <v>1260</v>
      </c>
      <c r="R22" s="58" t="s">
        <v>318</v>
      </c>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BA22" s="141">
        <f t="shared" si="1"/>
        <v>1</v>
      </c>
    </row>
    <row r="23" spans="1:53" s="140" customFormat="1" ht="12" customHeight="1" x14ac:dyDescent="0.15">
      <c r="A23" s="58" t="s">
        <v>500</v>
      </c>
      <c r="B23" s="58" t="s">
        <v>1652</v>
      </c>
      <c r="C23" s="58" t="s">
        <v>744</v>
      </c>
      <c r="D23" s="58" t="s">
        <v>459</v>
      </c>
      <c r="E23" s="58" t="s">
        <v>218</v>
      </c>
      <c r="F23" s="137">
        <v>39212</v>
      </c>
      <c r="G23" s="138">
        <v>3000</v>
      </c>
      <c r="H23" s="139">
        <v>4</v>
      </c>
      <c r="I23" s="139">
        <v>1</v>
      </c>
      <c r="J23" s="139">
        <v>0</v>
      </c>
      <c r="K23" s="139">
        <v>0</v>
      </c>
      <c r="L23" s="138">
        <v>7200</v>
      </c>
      <c r="M23" s="330">
        <f t="shared" si="2"/>
        <v>0.25</v>
      </c>
      <c r="N23" s="330">
        <f t="shared" si="3"/>
        <v>0.25</v>
      </c>
      <c r="O23" s="138">
        <f t="shared" ref="O23:O81" si="4">L23/H23</f>
        <v>1800</v>
      </c>
      <c r="P23" s="56" t="s">
        <v>1601</v>
      </c>
      <c r="Q23" s="56" t="s">
        <v>1266</v>
      </c>
      <c r="R23" s="139" t="s">
        <v>1516</v>
      </c>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BA23" s="141">
        <f t="shared" ref="BA23:BA93" si="5">IF(I23="","",IF(I23=0,0,1))</f>
        <v>1</v>
      </c>
    </row>
    <row r="24" spans="1:53" s="140" customFormat="1" ht="12" customHeight="1" x14ac:dyDescent="0.15">
      <c r="A24" s="58" t="s">
        <v>1098</v>
      </c>
      <c r="B24" s="58" t="s">
        <v>111</v>
      </c>
      <c r="C24" s="58" t="s">
        <v>606</v>
      </c>
      <c r="D24" s="58" t="s">
        <v>769</v>
      </c>
      <c r="E24" s="58" t="s">
        <v>212</v>
      </c>
      <c r="F24" s="137">
        <v>39175</v>
      </c>
      <c r="G24" s="138">
        <v>6500</v>
      </c>
      <c r="H24" s="139">
        <v>5</v>
      </c>
      <c r="I24" s="139">
        <v>2</v>
      </c>
      <c r="J24" s="139">
        <v>1</v>
      </c>
      <c r="K24" s="139">
        <v>2</v>
      </c>
      <c r="L24" s="138">
        <f>3350+3251+900</f>
        <v>7501</v>
      </c>
      <c r="M24" s="330">
        <f t="shared" si="2"/>
        <v>0.4</v>
      </c>
      <c r="N24" s="330">
        <f t="shared" si="3"/>
        <v>1</v>
      </c>
      <c r="O24" s="138">
        <f>L24/H24</f>
        <v>1500.2</v>
      </c>
      <c r="P24" s="56" t="s">
        <v>1601</v>
      </c>
      <c r="Q24" s="56" t="s">
        <v>1509</v>
      </c>
      <c r="R24" s="58" t="s">
        <v>5259</v>
      </c>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BA24" s="141">
        <f>IF(I24="","",IF(I24=0,0,1))</f>
        <v>1</v>
      </c>
    </row>
    <row r="25" spans="1:53" s="90" customFormat="1" ht="12" customHeight="1" x14ac:dyDescent="0.15">
      <c r="A25" s="58" t="s">
        <v>1137</v>
      </c>
      <c r="B25" s="58" t="s">
        <v>112</v>
      </c>
      <c r="C25" s="58" t="s">
        <v>1002</v>
      </c>
      <c r="D25" s="58" t="s">
        <v>972</v>
      </c>
      <c r="E25" s="58" t="s">
        <v>1212</v>
      </c>
      <c r="F25" s="137">
        <v>39129</v>
      </c>
      <c r="G25" s="138">
        <v>5000</v>
      </c>
      <c r="H25" s="139">
        <v>6</v>
      </c>
      <c r="I25" s="139">
        <v>1</v>
      </c>
      <c r="J25" s="139">
        <v>1</v>
      </c>
      <c r="K25" s="139">
        <v>0</v>
      </c>
      <c r="L25" s="138">
        <f>350+1140+400+6780+4400</f>
        <v>13070</v>
      </c>
      <c r="M25" s="330">
        <f t="shared" si="2"/>
        <v>0.16666666666666666</v>
      </c>
      <c r="N25" s="330">
        <f t="shared" si="3"/>
        <v>0.33333333333333331</v>
      </c>
      <c r="O25" s="138">
        <f>L25/H25</f>
        <v>2178.3333333333335</v>
      </c>
      <c r="P25" s="56" t="s">
        <v>1601</v>
      </c>
      <c r="Q25" s="56"/>
      <c r="R25" s="139" t="s">
        <v>2215</v>
      </c>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140"/>
      <c r="BA25" s="141">
        <f>IF(I25="","",IF(I25=0,0,1))</f>
        <v>1</v>
      </c>
    </row>
    <row r="26" spans="1:53" s="140" customFormat="1" ht="12" customHeight="1" x14ac:dyDescent="0.15">
      <c r="A26" s="58" t="s">
        <v>1171</v>
      </c>
      <c r="B26" s="58" t="s">
        <v>112</v>
      </c>
      <c r="C26" s="58" t="s">
        <v>531</v>
      </c>
      <c r="D26" s="58" t="s">
        <v>530</v>
      </c>
      <c r="E26" s="58" t="s">
        <v>165</v>
      </c>
      <c r="F26" s="137">
        <v>39186</v>
      </c>
      <c r="G26" s="138">
        <v>60000</v>
      </c>
      <c r="H26" s="139">
        <v>30</v>
      </c>
      <c r="I26" s="139">
        <v>2</v>
      </c>
      <c r="J26" s="139">
        <v>3</v>
      </c>
      <c r="K26" s="139">
        <v>2</v>
      </c>
      <c r="L26" s="138">
        <f>2032+525+100+100+345+350+70+640+2040+760+1520+380+76+105+35+100+600+105+150+165+175+2880+41+43+240+85+86</f>
        <v>13748</v>
      </c>
      <c r="M26" s="330">
        <f>I26/H26</f>
        <v>6.6666666666666666E-2</v>
      </c>
      <c r="N26" s="330">
        <f>SUM(I26:K26)/H26</f>
        <v>0.23333333333333334</v>
      </c>
      <c r="O26" s="138">
        <f>L26/H26</f>
        <v>458.26666666666665</v>
      </c>
      <c r="P26" s="56" t="s">
        <v>2104</v>
      </c>
      <c r="Q26" s="56" t="s">
        <v>1700</v>
      </c>
      <c r="R26" s="139" t="s">
        <v>3190</v>
      </c>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BA26" s="141">
        <f>IF(I26="","",IF(I26=0,0,1))</f>
        <v>1</v>
      </c>
    </row>
    <row r="27" spans="1:53" s="140" customFormat="1" ht="12" customHeight="1" x14ac:dyDescent="0.15">
      <c r="A27" s="58" t="s">
        <v>411</v>
      </c>
      <c r="B27" s="58" t="s">
        <v>969</v>
      </c>
      <c r="C27" s="58" t="s">
        <v>708</v>
      </c>
      <c r="D27" s="58" t="s">
        <v>1004</v>
      </c>
      <c r="E27" s="58" t="s">
        <v>277</v>
      </c>
      <c r="F27" s="137">
        <v>39238</v>
      </c>
      <c r="G27" s="138">
        <v>30000</v>
      </c>
      <c r="H27" s="139">
        <v>8</v>
      </c>
      <c r="I27" s="139">
        <v>1</v>
      </c>
      <c r="J27" s="139">
        <v>0</v>
      </c>
      <c r="K27" s="139">
        <v>0</v>
      </c>
      <c r="L27" s="138">
        <v>14201</v>
      </c>
      <c r="M27" s="330">
        <f t="shared" si="2"/>
        <v>0.125</v>
      </c>
      <c r="N27" s="330">
        <f t="shared" si="3"/>
        <v>0.125</v>
      </c>
      <c r="O27" s="138">
        <f t="shared" si="4"/>
        <v>1775.125</v>
      </c>
      <c r="P27" s="56" t="s">
        <v>1604</v>
      </c>
      <c r="Q27" s="56"/>
      <c r="R27" s="139" t="s">
        <v>2335</v>
      </c>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BA27" s="141">
        <f t="shared" si="5"/>
        <v>1</v>
      </c>
    </row>
    <row r="28" spans="1:53" s="90" customFormat="1" ht="12" customHeight="1" x14ac:dyDescent="0.15">
      <c r="A28" s="58" t="s">
        <v>1129</v>
      </c>
      <c r="B28" s="58" t="s">
        <v>111</v>
      </c>
      <c r="C28" s="58" t="s">
        <v>632</v>
      </c>
      <c r="D28" s="58" t="s">
        <v>909</v>
      </c>
      <c r="E28" s="58" t="s">
        <v>170</v>
      </c>
      <c r="F28" s="137">
        <v>39198</v>
      </c>
      <c r="G28" s="138">
        <v>150000</v>
      </c>
      <c r="H28" s="139">
        <v>2</v>
      </c>
      <c r="I28" s="139">
        <v>1</v>
      </c>
      <c r="J28" s="139">
        <v>0</v>
      </c>
      <c r="K28" s="139">
        <v>0</v>
      </c>
      <c r="L28" s="138">
        <f>13180+1500</f>
        <v>14680</v>
      </c>
      <c r="M28" s="330">
        <f t="shared" si="2"/>
        <v>0.5</v>
      </c>
      <c r="N28" s="330">
        <f t="shared" si="3"/>
        <v>0.5</v>
      </c>
      <c r="O28" s="138">
        <f t="shared" si="4"/>
        <v>7340</v>
      </c>
      <c r="P28" s="56" t="s">
        <v>1601</v>
      </c>
      <c r="Q28" s="56" t="s">
        <v>314</v>
      </c>
      <c r="R28" s="139" t="s">
        <v>1664</v>
      </c>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140"/>
      <c r="BA28" s="141">
        <f t="shared" si="5"/>
        <v>1</v>
      </c>
    </row>
    <row r="29" spans="1:53" s="140" customFormat="1" ht="12" customHeight="1" x14ac:dyDescent="0.15">
      <c r="A29" s="58" t="s">
        <v>415</v>
      </c>
      <c r="B29" s="58" t="s">
        <v>112</v>
      </c>
      <c r="C29" s="58" t="s">
        <v>846</v>
      </c>
      <c r="D29" s="58" t="s">
        <v>927</v>
      </c>
      <c r="E29" s="58" t="s">
        <v>273</v>
      </c>
      <c r="F29" s="137">
        <v>39121</v>
      </c>
      <c r="G29" s="138">
        <v>20000</v>
      </c>
      <c r="H29" s="139">
        <v>24</v>
      </c>
      <c r="I29" s="139">
        <v>2</v>
      </c>
      <c r="J29" s="139">
        <v>2</v>
      </c>
      <c r="K29" s="139">
        <v>4</v>
      </c>
      <c r="L29" s="138">
        <f>9760+3376+55+199+4080+59+59+60+58+58</f>
        <v>17764</v>
      </c>
      <c r="M29" s="330">
        <f>I29/H29</f>
        <v>8.3333333333333329E-2</v>
      </c>
      <c r="N29" s="330">
        <f>SUM(I29:K29)/H29</f>
        <v>0.33333333333333331</v>
      </c>
      <c r="O29" s="138">
        <f>L29/H29</f>
        <v>740.16666666666663</v>
      </c>
      <c r="P29" s="56" t="s">
        <v>1976</v>
      </c>
      <c r="Q29" s="56" t="s">
        <v>49</v>
      </c>
      <c r="R29" s="139" t="s">
        <v>5504</v>
      </c>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BA29" s="141">
        <f>IF(I29="","",IF(I29=0,0,1))</f>
        <v>1</v>
      </c>
    </row>
    <row r="30" spans="1:53" s="140" customFormat="1" ht="12" customHeight="1" x14ac:dyDescent="0.15">
      <c r="A30" s="58" t="s">
        <v>377</v>
      </c>
      <c r="B30" s="58" t="s">
        <v>1513</v>
      </c>
      <c r="C30" s="58" t="s">
        <v>997</v>
      </c>
      <c r="D30" s="58" t="s">
        <v>937</v>
      </c>
      <c r="E30" s="58" t="s">
        <v>290</v>
      </c>
      <c r="F30" s="137">
        <v>39200</v>
      </c>
      <c r="G30" s="138">
        <v>4500</v>
      </c>
      <c r="H30" s="139">
        <v>18</v>
      </c>
      <c r="I30" s="139">
        <v>2</v>
      </c>
      <c r="J30" s="139">
        <v>1</v>
      </c>
      <c r="K30" s="139">
        <v>3</v>
      </c>
      <c r="L30" s="138">
        <v>20900</v>
      </c>
      <c r="M30" s="330">
        <f t="shared" si="2"/>
        <v>0.1111111111111111</v>
      </c>
      <c r="N30" s="330">
        <f t="shared" si="3"/>
        <v>0.33333333333333331</v>
      </c>
      <c r="O30" s="138">
        <f t="shared" si="4"/>
        <v>1161.1111111111111</v>
      </c>
      <c r="P30" s="56" t="s">
        <v>1604</v>
      </c>
      <c r="Q30" s="56"/>
      <c r="R30" s="139" t="s">
        <v>1991</v>
      </c>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BA30" s="141">
        <f t="shared" si="5"/>
        <v>1</v>
      </c>
    </row>
    <row r="31" spans="1:53" s="140" customFormat="1" ht="12" customHeight="1" x14ac:dyDescent="0.15">
      <c r="A31" s="58" t="s">
        <v>480</v>
      </c>
      <c r="B31" s="58" t="s">
        <v>130</v>
      </c>
      <c r="C31" s="58" t="s">
        <v>673</v>
      </c>
      <c r="D31" s="58" t="s">
        <v>824</v>
      </c>
      <c r="E31" s="58" t="s">
        <v>268</v>
      </c>
      <c r="F31" s="137">
        <v>39203</v>
      </c>
      <c r="G31" s="138"/>
      <c r="H31" s="139">
        <v>5</v>
      </c>
      <c r="I31" s="139">
        <v>1</v>
      </c>
      <c r="J31" s="139">
        <v>0</v>
      </c>
      <c r="K31" s="139">
        <v>0</v>
      </c>
      <c r="L31" s="138">
        <v>26126</v>
      </c>
      <c r="M31" s="330">
        <f t="shared" si="2"/>
        <v>0.2</v>
      </c>
      <c r="N31" s="330">
        <f t="shared" si="3"/>
        <v>0.2</v>
      </c>
      <c r="O31" s="138">
        <f>L31/H31</f>
        <v>5225.2</v>
      </c>
      <c r="P31" s="56" t="s">
        <v>1601</v>
      </c>
      <c r="Q31" s="56"/>
      <c r="R31" s="139" t="s">
        <v>2118</v>
      </c>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BA31" s="141">
        <f>IF(I31="","",IF(I31=0,0,1))</f>
        <v>1</v>
      </c>
    </row>
    <row r="32" spans="1:53" s="140" customFormat="1" ht="12" customHeight="1" x14ac:dyDescent="0.15">
      <c r="A32" s="58" t="s">
        <v>1099</v>
      </c>
      <c r="B32" s="58" t="s">
        <v>1653</v>
      </c>
      <c r="C32" s="58" t="s">
        <v>930</v>
      </c>
      <c r="D32" s="58" t="s">
        <v>931</v>
      </c>
      <c r="E32" s="58" t="s">
        <v>169</v>
      </c>
      <c r="F32" s="137">
        <v>39206</v>
      </c>
      <c r="G32" s="138">
        <v>37000</v>
      </c>
      <c r="H32" s="139">
        <v>16</v>
      </c>
      <c r="I32" s="139">
        <v>2</v>
      </c>
      <c r="J32" s="139">
        <v>3</v>
      </c>
      <c r="K32" s="139">
        <v>1</v>
      </c>
      <c r="L32" s="138">
        <v>27600</v>
      </c>
      <c r="M32" s="330">
        <f t="shared" si="2"/>
        <v>0.125</v>
      </c>
      <c r="N32" s="330">
        <f t="shared" si="3"/>
        <v>0.375</v>
      </c>
      <c r="O32" s="138">
        <f>L32/H32</f>
        <v>1725</v>
      </c>
      <c r="P32" s="56" t="s">
        <v>1601</v>
      </c>
      <c r="Q32" s="56" t="s">
        <v>1239</v>
      </c>
      <c r="R32" s="139" t="s">
        <v>2381</v>
      </c>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BA32" s="141">
        <f>IF(I32="","",IF(I32=0,0,1))</f>
        <v>1</v>
      </c>
    </row>
    <row r="33" spans="1:53" s="140" customFormat="1" ht="12" customHeight="1" x14ac:dyDescent="0.15">
      <c r="A33" s="58" t="s">
        <v>1076</v>
      </c>
      <c r="B33" s="58" t="s">
        <v>112</v>
      </c>
      <c r="C33" s="58" t="s">
        <v>812</v>
      </c>
      <c r="D33" s="58" t="s">
        <v>446</v>
      </c>
      <c r="E33" s="58" t="s">
        <v>173</v>
      </c>
      <c r="F33" s="137">
        <v>39151</v>
      </c>
      <c r="G33" s="138">
        <v>37000</v>
      </c>
      <c r="H33" s="139">
        <v>13</v>
      </c>
      <c r="I33" s="139">
        <v>4</v>
      </c>
      <c r="J33" s="139">
        <v>4</v>
      </c>
      <c r="K33" s="139">
        <v>1</v>
      </c>
      <c r="L33" s="138">
        <f>12748+5877+583+9175</f>
        <v>28383</v>
      </c>
      <c r="M33" s="330">
        <f t="shared" si="2"/>
        <v>0.30769230769230771</v>
      </c>
      <c r="N33" s="330">
        <f t="shared" si="3"/>
        <v>0.69230769230769229</v>
      </c>
      <c r="O33" s="138">
        <f>L33/H33</f>
        <v>2183.3076923076924</v>
      </c>
      <c r="P33" s="56" t="s">
        <v>1689</v>
      </c>
      <c r="Q33" s="56"/>
      <c r="R33" s="58" t="s">
        <v>2111</v>
      </c>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BA33" s="141">
        <f>IF(I33="","",IF(I33=0,0,1))</f>
        <v>1</v>
      </c>
    </row>
    <row r="34" spans="1:53" s="90" customFormat="1" ht="12" customHeight="1" x14ac:dyDescent="0.15">
      <c r="A34" s="58" t="s">
        <v>701</v>
      </c>
      <c r="B34" s="58" t="s">
        <v>1656</v>
      </c>
      <c r="C34" s="58" t="s">
        <v>1024</v>
      </c>
      <c r="D34" s="58" t="s">
        <v>979</v>
      </c>
      <c r="E34" s="58" t="s">
        <v>279</v>
      </c>
      <c r="F34" s="137">
        <v>39098</v>
      </c>
      <c r="G34" s="138">
        <v>57000</v>
      </c>
      <c r="H34" s="139">
        <v>7</v>
      </c>
      <c r="I34" s="139">
        <v>1</v>
      </c>
      <c r="J34" s="139">
        <v>1</v>
      </c>
      <c r="K34" s="139">
        <v>0</v>
      </c>
      <c r="L34" s="138">
        <f>32560+265+212</f>
        <v>33037</v>
      </c>
      <c r="M34" s="330">
        <f t="shared" si="2"/>
        <v>0.14285714285714285</v>
      </c>
      <c r="N34" s="330">
        <f t="shared" si="3"/>
        <v>0.2857142857142857</v>
      </c>
      <c r="O34" s="138">
        <f t="shared" si="4"/>
        <v>4719.5714285714284</v>
      </c>
      <c r="P34" s="56" t="s">
        <v>1604</v>
      </c>
      <c r="Q34" s="56" t="s">
        <v>1607</v>
      </c>
      <c r="R34" s="139" t="s">
        <v>1521</v>
      </c>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140"/>
      <c r="BA34" s="141">
        <f t="shared" si="5"/>
        <v>1</v>
      </c>
    </row>
    <row r="35" spans="1:53" s="140" customFormat="1" ht="12" customHeight="1" x14ac:dyDescent="0.15">
      <c r="A35" s="58" t="s">
        <v>501</v>
      </c>
      <c r="B35" s="58" t="s">
        <v>113</v>
      </c>
      <c r="C35" s="58" t="s">
        <v>653</v>
      </c>
      <c r="D35" s="58" t="s">
        <v>732</v>
      </c>
      <c r="E35" s="58" t="s">
        <v>232</v>
      </c>
      <c r="F35" s="137">
        <v>39175</v>
      </c>
      <c r="G35" s="138">
        <v>190000</v>
      </c>
      <c r="H35" s="139">
        <v>5</v>
      </c>
      <c r="I35" s="139">
        <v>1</v>
      </c>
      <c r="J35" s="139">
        <v>3</v>
      </c>
      <c r="K35" s="139">
        <v>1</v>
      </c>
      <c r="L35" s="138">
        <f>4300+7350+13800+6000+6000</f>
        <v>37450</v>
      </c>
      <c r="M35" s="330">
        <f t="shared" si="2"/>
        <v>0.2</v>
      </c>
      <c r="N35" s="330">
        <f t="shared" si="3"/>
        <v>1</v>
      </c>
      <c r="O35" s="138">
        <f t="shared" si="4"/>
        <v>7490</v>
      </c>
      <c r="P35" s="56" t="s">
        <v>1604</v>
      </c>
      <c r="Q35" s="56" t="s">
        <v>1515</v>
      </c>
      <c r="R35" s="139" t="s">
        <v>3478</v>
      </c>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BA35" s="141">
        <f t="shared" si="5"/>
        <v>1</v>
      </c>
    </row>
    <row r="36" spans="1:53" s="140" customFormat="1" ht="12" customHeight="1" x14ac:dyDescent="0.15">
      <c r="A36" s="58" t="s">
        <v>470</v>
      </c>
      <c r="B36" s="58" t="s">
        <v>114</v>
      </c>
      <c r="C36" s="58" t="s">
        <v>871</v>
      </c>
      <c r="D36" s="58" t="s">
        <v>462</v>
      </c>
      <c r="E36" s="58" t="s">
        <v>199</v>
      </c>
      <c r="F36" s="137">
        <v>39166</v>
      </c>
      <c r="G36" s="138"/>
      <c r="H36" s="139">
        <v>12</v>
      </c>
      <c r="I36" s="139">
        <v>2</v>
      </c>
      <c r="J36" s="139">
        <v>4</v>
      </c>
      <c r="K36" s="139">
        <v>1</v>
      </c>
      <c r="L36" s="138">
        <f>26850+10800+2178+2940+240</f>
        <v>43008</v>
      </c>
      <c r="M36" s="330">
        <f t="shared" si="2"/>
        <v>0.16666666666666666</v>
      </c>
      <c r="N36" s="330">
        <f t="shared" si="3"/>
        <v>0.58333333333333337</v>
      </c>
      <c r="O36" s="138">
        <f t="shared" si="4"/>
        <v>3584</v>
      </c>
      <c r="P36" s="56" t="s">
        <v>1604</v>
      </c>
      <c r="Q36" s="56" t="s">
        <v>141</v>
      </c>
      <c r="R36" s="139" t="s">
        <v>2371</v>
      </c>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BA36" s="141">
        <f t="shared" si="5"/>
        <v>1</v>
      </c>
    </row>
    <row r="37" spans="1:53" s="140" customFormat="1" ht="12" customHeight="1" x14ac:dyDescent="0.15">
      <c r="A37" s="58" t="s">
        <v>1039</v>
      </c>
      <c r="B37" s="58" t="s">
        <v>1511</v>
      </c>
      <c r="C37" s="58" t="s">
        <v>471</v>
      </c>
      <c r="D37" s="58" t="s">
        <v>1006</v>
      </c>
      <c r="E37" s="58" t="s">
        <v>226</v>
      </c>
      <c r="F37" s="137">
        <v>39112</v>
      </c>
      <c r="G37" s="138">
        <v>200000</v>
      </c>
      <c r="H37" s="139">
        <v>7</v>
      </c>
      <c r="I37" s="139">
        <v>2</v>
      </c>
      <c r="J37" s="139">
        <v>2</v>
      </c>
      <c r="K37" s="139">
        <v>2</v>
      </c>
      <c r="L37" s="138">
        <f>41040+1093+1574</f>
        <v>43707</v>
      </c>
      <c r="M37" s="330">
        <f>I37/H37</f>
        <v>0.2857142857142857</v>
      </c>
      <c r="N37" s="330">
        <f>SUM(I37:K37)/H37</f>
        <v>0.8571428571428571</v>
      </c>
      <c r="O37" s="138">
        <f>L37/H37</f>
        <v>6243.8571428571431</v>
      </c>
      <c r="P37" s="56" t="s">
        <v>1689</v>
      </c>
      <c r="Q37" s="56"/>
      <c r="R37" s="139" t="s">
        <v>3338</v>
      </c>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BA37" s="141">
        <f>IF(I37="","",IF(I37=0,0,1))</f>
        <v>1</v>
      </c>
    </row>
    <row r="38" spans="1:53" s="140" customFormat="1" ht="12" customHeight="1" x14ac:dyDescent="0.15">
      <c r="A38" s="58" t="s">
        <v>1086</v>
      </c>
      <c r="B38" s="58" t="s">
        <v>145</v>
      </c>
      <c r="C38" s="58" t="s">
        <v>1114</v>
      </c>
      <c r="D38" s="58" t="s">
        <v>648</v>
      </c>
      <c r="E38" s="58" t="s">
        <v>275</v>
      </c>
      <c r="F38" s="137">
        <v>39132</v>
      </c>
      <c r="G38" s="138">
        <v>110000</v>
      </c>
      <c r="H38" s="139">
        <v>32</v>
      </c>
      <c r="I38" s="139">
        <v>2</v>
      </c>
      <c r="J38" s="139">
        <v>6</v>
      </c>
      <c r="K38" s="139">
        <v>9</v>
      </c>
      <c r="L38" s="138">
        <f>48573</f>
        <v>48573</v>
      </c>
      <c r="M38" s="330">
        <f>I38/H38</f>
        <v>6.25E-2</v>
      </c>
      <c r="N38" s="330">
        <f>SUM(I38:K38)/H38</f>
        <v>0.53125</v>
      </c>
      <c r="O38" s="138">
        <f>L38/H38</f>
        <v>1517.90625</v>
      </c>
      <c r="P38" s="56" t="s">
        <v>1689</v>
      </c>
      <c r="Q38" s="56"/>
      <c r="R38" s="139" t="s">
        <v>3474</v>
      </c>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BA38" s="141">
        <f>IF(I38="","",IF(I38=0,0,1))</f>
        <v>1</v>
      </c>
    </row>
    <row r="39" spans="1:53" s="140" customFormat="1" ht="12" customHeight="1" x14ac:dyDescent="0.15">
      <c r="A39" s="58" t="s">
        <v>430</v>
      </c>
      <c r="B39" s="58" t="s">
        <v>112</v>
      </c>
      <c r="C39" s="58" t="s">
        <v>874</v>
      </c>
      <c r="D39" s="58" t="s">
        <v>477</v>
      </c>
      <c r="E39" s="58" t="s">
        <v>225</v>
      </c>
      <c r="F39" s="137">
        <v>39119</v>
      </c>
      <c r="G39" s="138">
        <v>150000</v>
      </c>
      <c r="H39" s="139">
        <v>8</v>
      </c>
      <c r="I39" s="139">
        <v>2</v>
      </c>
      <c r="J39" s="139">
        <v>0</v>
      </c>
      <c r="K39" s="139">
        <v>0</v>
      </c>
      <c r="L39" s="138">
        <v>50800</v>
      </c>
      <c r="M39" s="330">
        <f>I39/H39</f>
        <v>0.25</v>
      </c>
      <c r="N39" s="330">
        <f>SUM(I39:K39)/H39</f>
        <v>0.25</v>
      </c>
      <c r="O39" s="138">
        <f>L39/H39</f>
        <v>6350</v>
      </c>
      <c r="P39" s="56" t="s">
        <v>1604</v>
      </c>
      <c r="Q39" s="56" t="s">
        <v>1284</v>
      </c>
      <c r="R39" s="139" t="s">
        <v>3373</v>
      </c>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BA39" s="141">
        <f>IF(I39="","",IF(I39=0,0,1))</f>
        <v>1</v>
      </c>
    </row>
    <row r="40" spans="1:53" s="140" customFormat="1" ht="12" customHeight="1" x14ac:dyDescent="0.15">
      <c r="A40" s="58" t="s">
        <v>412</v>
      </c>
      <c r="B40" s="58" t="s">
        <v>1511</v>
      </c>
      <c r="C40" s="58" t="s">
        <v>1072</v>
      </c>
      <c r="D40" s="58" t="s">
        <v>698</v>
      </c>
      <c r="E40" s="58" t="s">
        <v>194</v>
      </c>
      <c r="F40" s="137">
        <v>39197</v>
      </c>
      <c r="G40" s="138"/>
      <c r="H40" s="139">
        <v>6</v>
      </c>
      <c r="I40" s="139">
        <v>3</v>
      </c>
      <c r="J40" s="139">
        <v>0</v>
      </c>
      <c r="K40" s="139">
        <v>1</v>
      </c>
      <c r="L40" s="138">
        <v>51520</v>
      </c>
      <c r="M40" s="330">
        <f t="shared" si="2"/>
        <v>0.5</v>
      </c>
      <c r="N40" s="330">
        <f t="shared" si="3"/>
        <v>0.66666666666666663</v>
      </c>
      <c r="O40" s="138">
        <f t="shared" si="4"/>
        <v>8586.6666666666661</v>
      </c>
      <c r="P40" s="56" t="s">
        <v>1604</v>
      </c>
      <c r="Q40" s="56" t="s">
        <v>344</v>
      </c>
      <c r="R40" s="139" t="s">
        <v>1599</v>
      </c>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BA40" s="141">
        <f t="shared" si="5"/>
        <v>1</v>
      </c>
    </row>
    <row r="41" spans="1:53" s="140" customFormat="1" ht="12" customHeight="1" x14ac:dyDescent="0.15">
      <c r="A41" s="58" t="s">
        <v>1036</v>
      </c>
      <c r="B41" s="58" t="s">
        <v>1637</v>
      </c>
      <c r="C41" s="58" t="s">
        <v>767</v>
      </c>
      <c r="D41" s="58" t="s">
        <v>1042</v>
      </c>
      <c r="E41" s="58" t="s">
        <v>292</v>
      </c>
      <c r="F41" s="137">
        <v>39126</v>
      </c>
      <c r="G41" s="138">
        <v>58750</v>
      </c>
      <c r="H41" s="139">
        <v>11</v>
      </c>
      <c r="I41" s="139">
        <v>2</v>
      </c>
      <c r="J41" s="139">
        <v>1</v>
      </c>
      <c r="K41" s="139">
        <v>0</v>
      </c>
      <c r="L41" s="138">
        <v>52393</v>
      </c>
      <c r="M41" s="330">
        <f t="shared" si="2"/>
        <v>0.18181818181818182</v>
      </c>
      <c r="N41" s="330">
        <f t="shared" si="3"/>
        <v>0.27272727272727271</v>
      </c>
      <c r="O41" s="138">
        <f t="shared" si="4"/>
        <v>4763</v>
      </c>
      <c r="P41" s="56" t="s">
        <v>1689</v>
      </c>
      <c r="Q41" s="56"/>
      <c r="R41" s="58" t="s">
        <v>3325</v>
      </c>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BA41" s="141">
        <f t="shared" si="5"/>
        <v>1</v>
      </c>
    </row>
    <row r="42" spans="1:53" s="140" customFormat="1" ht="12" customHeight="1" x14ac:dyDescent="0.15">
      <c r="A42" s="58" t="s">
        <v>1075</v>
      </c>
      <c r="B42" s="58" t="s">
        <v>713</v>
      </c>
      <c r="C42" s="58" t="s">
        <v>879</v>
      </c>
      <c r="D42" s="58" t="s">
        <v>880</v>
      </c>
      <c r="E42" s="58" t="s">
        <v>235</v>
      </c>
      <c r="F42" s="137">
        <v>39166</v>
      </c>
      <c r="G42" s="138">
        <v>25000</v>
      </c>
      <c r="H42" s="139">
        <v>31</v>
      </c>
      <c r="I42" s="139">
        <v>2</v>
      </c>
      <c r="J42" s="139">
        <v>5</v>
      </c>
      <c r="K42" s="139">
        <v>4</v>
      </c>
      <c r="L42" s="138">
        <f>55590+0</f>
        <v>55590</v>
      </c>
      <c r="M42" s="330">
        <f t="shared" si="2"/>
        <v>6.4516129032258063E-2</v>
      </c>
      <c r="N42" s="330">
        <f t="shared" si="3"/>
        <v>0.35483870967741937</v>
      </c>
      <c r="O42" s="138">
        <f t="shared" si="4"/>
        <v>1793.2258064516129</v>
      </c>
      <c r="P42" s="56" t="s">
        <v>1689</v>
      </c>
      <c r="Q42" s="56" t="s">
        <v>1772</v>
      </c>
      <c r="R42" s="139" t="s">
        <v>1887</v>
      </c>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BA42" s="141">
        <f t="shared" si="5"/>
        <v>1</v>
      </c>
    </row>
    <row r="43" spans="1:53" s="140" customFormat="1" ht="12" customHeight="1" x14ac:dyDescent="0.15">
      <c r="A43" s="58" t="s">
        <v>613</v>
      </c>
      <c r="B43" s="58" t="s">
        <v>969</v>
      </c>
      <c r="C43" s="58" t="s">
        <v>817</v>
      </c>
      <c r="D43" s="58" t="s">
        <v>815</v>
      </c>
      <c r="E43" s="58" t="s">
        <v>297</v>
      </c>
      <c r="F43" s="137">
        <v>39158</v>
      </c>
      <c r="G43" s="138"/>
      <c r="H43" s="139">
        <v>25</v>
      </c>
      <c r="I43" s="139">
        <v>4</v>
      </c>
      <c r="J43" s="139">
        <v>4</v>
      </c>
      <c r="K43" s="139">
        <v>5</v>
      </c>
      <c r="L43" s="138">
        <v>59422</v>
      </c>
      <c r="M43" s="330">
        <f t="shared" si="2"/>
        <v>0.16</v>
      </c>
      <c r="N43" s="330">
        <f t="shared" si="3"/>
        <v>0.52</v>
      </c>
      <c r="O43" s="138">
        <f t="shared" si="4"/>
        <v>2376.88</v>
      </c>
      <c r="P43" s="56" t="s">
        <v>1593</v>
      </c>
      <c r="Q43" s="56"/>
      <c r="R43" s="139" t="s">
        <v>626</v>
      </c>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BA43" s="141">
        <f t="shared" si="5"/>
        <v>1</v>
      </c>
    </row>
    <row r="44" spans="1:53" s="140" customFormat="1" ht="12" customHeight="1" x14ac:dyDescent="0.15">
      <c r="A44" s="58" t="s">
        <v>942</v>
      </c>
      <c r="B44" s="58" t="s">
        <v>111</v>
      </c>
      <c r="C44" s="58" t="s">
        <v>543</v>
      </c>
      <c r="D44" s="58" t="s">
        <v>542</v>
      </c>
      <c r="E44" s="58" t="s">
        <v>338</v>
      </c>
      <c r="F44" s="137">
        <v>39164</v>
      </c>
      <c r="G44" s="138"/>
      <c r="H44" s="139">
        <v>19</v>
      </c>
      <c r="I44" s="139">
        <v>3</v>
      </c>
      <c r="J44" s="139">
        <v>2</v>
      </c>
      <c r="K44" s="139">
        <v>4</v>
      </c>
      <c r="L44" s="138">
        <f>64534+1500+112</f>
        <v>66146</v>
      </c>
      <c r="M44" s="330">
        <f t="shared" si="2"/>
        <v>0.15789473684210525</v>
      </c>
      <c r="N44" s="330">
        <f t="shared" si="3"/>
        <v>0.47368421052631576</v>
      </c>
      <c r="O44" s="138">
        <f t="shared" si="4"/>
        <v>3481.3684210526317</v>
      </c>
      <c r="P44" s="56" t="s">
        <v>1708</v>
      </c>
      <c r="Q44" s="56"/>
      <c r="R44" s="139" t="s">
        <v>1703</v>
      </c>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BA44" s="141">
        <f t="shared" si="5"/>
        <v>1</v>
      </c>
    </row>
    <row r="45" spans="1:53" s="140" customFormat="1" ht="12" customHeight="1" x14ac:dyDescent="0.15">
      <c r="A45" s="58" t="s">
        <v>1167</v>
      </c>
      <c r="B45" s="58" t="s">
        <v>111</v>
      </c>
      <c r="C45" s="58" t="s">
        <v>1062</v>
      </c>
      <c r="D45" s="58" t="s">
        <v>704</v>
      </c>
      <c r="E45" s="58" t="s">
        <v>212</v>
      </c>
      <c r="F45" s="137">
        <v>39153</v>
      </c>
      <c r="G45" s="138">
        <v>65000</v>
      </c>
      <c r="H45" s="139">
        <v>23</v>
      </c>
      <c r="I45" s="139">
        <v>6</v>
      </c>
      <c r="J45" s="139">
        <v>3</v>
      </c>
      <c r="K45" s="139">
        <v>6</v>
      </c>
      <c r="L45" s="138">
        <f>47070+480+4800+3600+6300+3300+900+1221+1600+880</f>
        <v>70151</v>
      </c>
      <c r="M45" s="330">
        <f>I45/H45</f>
        <v>0.2608695652173913</v>
      </c>
      <c r="N45" s="330">
        <f>SUM(I45:K45)/H45</f>
        <v>0.65217391304347827</v>
      </c>
      <c r="O45" s="138">
        <f>L45/H45</f>
        <v>3050.0434782608695</v>
      </c>
      <c r="P45" s="56" t="s">
        <v>1976</v>
      </c>
      <c r="Q45" s="56" t="s">
        <v>1462</v>
      </c>
      <c r="R45" s="139" t="s">
        <v>5260</v>
      </c>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BA45" s="141">
        <f>IF(I45="","",IF(I45=0,0,1))</f>
        <v>1</v>
      </c>
    </row>
    <row r="46" spans="1:53" s="140" customFormat="1" ht="12" customHeight="1" x14ac:dyDescent="0.15">
      <c r="A46" s="58" t="s">
        <v>1094</v>
      </c>
      <c r="B46" s="58" t="s">
        <v>969</v>
      </c>
      <c r="C46" s="58" t="s">
        <v>553</v>
      </c>
      <c r="D46" s="58" t="s">
        <v>924</v>
      </c>
      <c r="E46" s="58" t="s">
        <v>220</v>
      </c>
      <c r="F46" s="137">
        <v>39124</v>
      </c>
      <c r="G46" s="138"/>
      <c r="H46" s="139">
        <v>42</v>
      </c>
      <c r="I46" s="139">
        <v>5</v>
      </c>
      <c r="J46" s="139">
        <v>4</v>
      </c>
      <c r="K46" s="139">
        <v>8</v>
      </c>
      <c r="L46" s="138">
        <f>65068+105+4500+500+1040+156+72+67</f>
        <v>71508</v>
      </c>
      <c r="M46" s="330">
        <f>I46/H46</f>
        <v>0.11904761904761904</v>
      </c>
      <c r="N46" s="330">
        <f>SUM(I46:K46)/H46</f>
        <v>0.40476190476190477</v>
      </c>
      <c r="O46" s="138">
        <f>L46/H46</f>
        <v>1702.5714285714287</v>
      </c>
      <c r="P46" s="56" t="s">
        <v>3172</v>
      </c>
      <c r="Q46" s="56"/>
      <c r="R46" s="139" t="s">
        <v>3616</v>
      </c>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BA46" s="141">
        <f>IF(I46="","",IF(I46=0,0,1))</f>
        <v>1</v>
      </c>
    </row>
    <row r="47" spans="1:53" s="140" customFormat="1" ht="12" customHeight="1" x14ac:dyDescent="0.15">
      <c r="A47" s="58" t="s">
        <v>355</v>
      </c>
      <c r="B47" s="58" t="s">
        <v>1646</v>
      </c>
      <c r="C47" s="58" t="s">
        <v>703</v>
      </c>
      <c r="D47" s="58" t="s">
        <v>601</v>
      </c>
      <c r="E47" s="58" t="s">
        <v>220</v>
      </c>
      <c r="F47" s="137">
        <v>39111</v>
      </c>
      <c r="G47" s="138">
        <v>50000</v>
      </c>
      <c r="H47" s="139">
        <v>44</v>
      </c>
      <c r="I47" s="139">
        <v>5</v>
      </c>
      <c r="J47" s="139">
        <v>6</v>
      </c>
      <c r="K47" s="139">
        <v>8</v>
      </c>
      <c r="L47" s="138">
        <f>55866+8400+200+6600+225+1800+5400+270+270+200</f>
        <v>79231</v>
      </c>
      <c r="M47" s="330">
        <f>I47/H47</f>
        <v>0.11363636363636363</v>
      </c>
      <c r="N47" s="330">
        <f>SUM(I47:K47)/H47</f>
        <v>0.43181818181818182</v>
      </c>
      <c r="O47" s="138">
        <f>L47/H47</f>
        <v>1800.7045454545455</v>
      </c>
      <c r="P47" s="56" t="s">
        <v>2282</v>
      </c>
      <c r="Q47" s="56" t="s">
        <v>1778</v>
      </c>
      <c r="R47" s="139" t="s">
        <v>3659</v>
      </c>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BA47" s="141">
        <f>IF(I47="","",IF(I47=0,0,1))</f>
        <v>1</v>
      </c>
    </row>
    <row r="48" spans="1:53" s="140" customFormat="1" ht="12" customHeight="1" x14ac:dyDescent="0.15">
      <c r="A48" s="58" t="s">
        <v>1080</v>
      </c>
      <c r="B48" s="58" t="s">
        <v>969</v>
      </c>
      <c r="C48" s="58" t="s">
        <v>561</v>
      </c>
      <c r="D48" s="58" t="s">
        <v>976</v>
      </c>
      <c r="E48" s="58" t="s">
        <v>163</v>
      </c>
      <c r="F48" s="137">
        <v>39130</v>
      </c>
      <c r="G48" s="138">
        <v>270000</v>
      </c>
      <c r="H48" s="139">
        <v>31</v>
      </c>
      <c r="I48" s="139">
        <v>5</v>
      </c>
      <c r="J48" s="139">
        <v>5</v>
      </c>
      <c r="K48" s="139">
        <v>5</v>
      </c>
      <c r="L48" s="138">
        <f>41644+1742+3184+2622+1680+4520+123+85+100+6600+100+100+1940+1164+1164+6510+450+5400+190+190+2280+0+0+0</f>
        <v>81788</v>
      </c>
      <c r="M48" s="330">
        <f>I48/H48</f>
        <v>0.16129032258064516</v>
      </c>
      <c r="N48" s="330">
        <f>SUM(I48:K48)/H48</f>
        <v>0.4838709677419355</v>
      </c>
      <c r="O48" s="138">
        <f>L48/H48</f>
        <v>2638.3225806451615</v>
      </c>
      <c r="P48" s="56" t="s">
        <v>3172</v>
      </c>
      <c r="Q48" s="56"/>
      <c r="R48" s="139" t="s">
        <v>3288</v>
      </c>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BA48" s="141">
        <f>IF(I48="","",IF(I48=0,0,1))</f>
        <v>1</v>
      </c>
    </row>
    <row r="49" spans="1:53" s="140" customFormat="1" ht="12" customHeight="1" x14ac:dyDescent="0.15">
      <c r="A49" s="58" t="s">
        <v>1033</v>
      </c>
      <c r="B49" s="58" t="s">
        <v>1640</v>
      </c>
      <c r="C49" s="58" t="s">
        <v>617</v>
      </c>
      <c r="D49" s="58" t="s">
        <v>875</v>
      </c>
      <c r="E49" s="58" t="s">
        <v>233</v>
      </c>
      <c r="F49" s="137">
        <v>39093</v>
      </c>
      <c r="G49" s="138">
        <v>75000</v>
      </c>
      <c r="H49" s="139">
        <v>21</v>
      </c>
      <c r="I49" s="139">
        <v>5</v>
      </c>
      <c r="J49" s="139">
        <v>5</v>
      </c>
      <c r="K49" s="139">
        <v>4</v>
      </c>
      <c r="L49" s="138">
        <v>86348</v>
      </c>
      <c r="M49" s="330">
        <f t="shared" si="2"/>
        <v>0.23809523809523808</v>
      </c>
      <c r="N49" s="330">
        <f t="shared" si="3"/>
        <v>0.66666666666666663</v>
      </c>
      <c r="O49" s="138">
        <f t="shared" si="4"/>
        <v>4111.8095238095239</v>
      </c>
      <c r="P49" s="56" t="s">
        <v>1593</v>
      </c>
      <c r="Q49" s="56"/>
      <c r="R49" s="139" t="s">
        <v>429</v>
      </c>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BA49" s="141">
        <f t="shared" si="5"/>
        <v>1</v>
      </c>
    </row>
    <row r="50" spans="1:53" s="140" customFormat="1" ht="12" customHeight="1" x14ac:dyDescent="0.15">
      <c r="A50" s="58" t="s">
        <v>664</v>
      </c>
      <c r="B50" s="58" t="s">
        <v>1513</v>
      </c>
      <c r="C50" s="58" t="s">
        <v>692</v>
      </c>
      <c r="D50" s="58" t="s">
        <v>769</v>
      </c>
      <c r="E50" s="58" t="s">
        <v>312</v>
      </c>
      <c r="F50" s="137">
        <v>39144</v>
      </c>
      <c r="G50" s="138"/>
      <c r="H50" s="139">
        <v>20</v>
      </c>
      <c r="I50" s="139">
        <v>4</v>
      </c>
      <c r="J50" s="139">
        <v>4</v>
      </c>
      <c r="K50" s="139">
        <v>0</v>
      </c>
      <c r="L50" s="138">
        <f>101550+300</f>
        <v>101850</v>
      </c>
      <c r="M50" s="330">
        <f>I50/H50</f>
        <v>0.2</v>
      </c>
      <c r="N50" s="330">
        <f>SUM(I50:K50)/H50</f>
        <v>0.4</v>
      </c>
      <c r="O50" s="138">
        <f>L50/H50</f>
        <v>5092.5</v>
      </c>
      <c r="P50" s="56" t="s">
        <v>1689</v>
      </c>
      <c r="Q50" s="56" t="s">
        <v>344</v>
      </c>
      <c r="R50" s="139" t="s">
        <v>3423</v>
      </c>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BA50" s="141">
        <f>IF(I50="","",IF(I50=0,0,1))</f>
        <v>1</v>
      </c>
    </row>
    <row r="51" spans="1:53" s="140" customFormat="1" ht="12" customHeight="1" x14ac:dyDescent="0.15">
      <c r="A51" s="58" t="s">
        <v>1158</v>
      </c>
      <c r="B51" s="58" t="s">
        <v>713</v>
      </c>
      <c r="C51" s="58" t="s">
        <v>783</v>
      </c>
      <c r="D51" s="58" t="s">
        <v>739</v>
      </c>
      <c r="E51" s="58" t="s">
        <v>198</v>
      </c>
      <c r="F51" s="137">
        <v>39173</v>
      </c>
      <c r="G51" s="138">
        <v>410000</v>
      </c>
      <c r="H51" s="139">
        <v>8</v>
      </c>
      <c r="I51" s="139">
        <v>4</v>
      </c>
      <c r="J51" s="139">
        <v>0</v>
      </c>
      <c r="K51" s="139">
        <v>2</v>
      </c>
      <c r="L51" s="138">
        <f>23184+5760+28800+7200+36000+1240</f>
        <v>102184</v>
      </c>
      <c r="M51" s="330">
        <f>I51/H51</f>
        <v>0.5</v>
      </c>
      <c r="N51" s="330">
        <f>SUM(I51:K51)/H51</f>
        <v>0.75</v>
      </c>
      <c r="O51" s="138">
        <f>L51/H51</f>
        <v>12773</v>
      </c>
      <c r="P51" s="56" t="s">
        <v>1976</v>
      </c>
      <c r="Q51" s="56" t="s">
        <v>91</v>
      </c>
      <c r="R51" s="139" t="s">
        <v>4647</v>
      </c>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BA51" s="141">
        <f>IF(I51="","",IF(I51=0,0,1))</f>
        <v>1</v>
      </c>
    </row>
    <row r="52" spans="1:53" s="140" customFormat="1" ht="12" customHeight="1" x14ac:dyDescent="0.15">
      <c r="A52" s="58" t="s">
        <v>1056</v>
      </c>
      <c r="B52" s="58" t="s">
        <v>713</v>
      </c>
      <c r="C52" s="58" t="s">
        <v>387</v>
      </c>
      <c r="D52" s="58" t="s">
        <v>388</v>
      </c>
      <c r="E52" s="58" t="s">
        <v>208</v>
      </c>
      <c r="F52" s="137">
        <v>39188</v>
      </c>
      <c r="G52" s="138"/>
      <c r="H52" s="139">
        <v>21</v>
      </c>
      <c r="I52" s="139">
        <v>5</v>
      </c>
      <c r="J52" s="139">
        <v>3</v>
      </c>
      <c r="K52" s="139">
        <v>1</v>
      </c>
      <c r="L52" s="138">
        <f>104050+1200</f>
        <v>105250</v>
      </c>
      <c r="M52" s="330">
        <f t="shared" si="2"/>
        <v>0.23809523809523808</v>
      </c>
      <c r="N52" s="330">
        <f t="shared" si="3"/>
        <v>0.42857142857142855</v>
      </c>
      <c r="O52" s="138">
        <f t="shared" si="4"/>
        <v>5011.9047619047615</v>
      </c>
      <c r="P52" s="56" t="s">
        <v>1689</v>
      </c>
      <c r="Q52" s="56" t="s">
        <v>1818</v>
      </c>
      <c r="R52" s="139" t="s">
        <v>1817</v>
      </c>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BA52" s="141">
        <f t="shared" si="5"/>
        <v>1</v>
      </c>
    </row>
    <row r="53" spans="1:53" s="140" customFormat="1" ht="12" customHeight="1" x14ac:dyDescent="0.15">
      <c r="A53" s="58" t="s">
        <v>1000</v>
      </c>
      <c r="B53" s="58" t="s">
        <v>1967</v>
      </c>
      <c r="C53" s="58" t="s">
        <v>1142</v>
      </c>
      <c r="D53" s="58" t="s">
        <v>715</v>
      </c>
      <c r="E53" s="58" t="s">
        <v>340</v>
      </c>
      <c r="F53" s="137">
        <v>39143</v>
      </c>
      <c r="G53" s="138">
        <v>600000</v>
      </c>
      <c r="H53" s="139">
        <v>19</v>
      </c>
      <c r="I53" s="139">
        <v>3</v>
      </c>
      <c r="J53" s="139">
        <v>3</v>
      </c>
      <c r="K53" s="139">
        <v>4</v>
      </c>
      <c r="L53" s="138">
        <f>60411+19950+1110+5400+740+16200+2900+1450+2530</f>
        <v>110691</v>
      </c>
      <c r="M53" s="330">
        <f t="shared" si="2"/>
        <v>0.15789473684210525</v>
      </c>
      <c r="N53" s="330">
        <f t="shared" si="3"/>
        <v>0.52631578947368418</v>
      </c>
      <c r="O53" s="138">
        <f t="shared" si="4"/>
        <v>5825.8421052631575</v>
      </c>
      <c r="P53" s="56" t="s">
        <v>1689</v>
      </c>
      <c r="Q53" s="56" t="s">
        <v>343</v>
      </c>
      <c r="R53" s="139" t="s">
        <v>1968</v>
      </c>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BA53" s="141">
        <f t="shared" si="5"/>
        <v>1</v>
      </c>
    </row>
    <row r="54" spans="1:53" s="140" customFormat="1" ht="12" customHeight="1" x14ac:dyDescent="0.15">
      <c r="A54" s="58" t="s">
        <v>378</v>
      </c>
      <c r="B54" s="58" t="s">
        <v>969</v>
      </c>
      <c r="C54" s="58" t="s">
        <v>513</v>
      </c>
      <c r="D54" s="58" t="s">
        <v>1043</v>
      </c>
      <c r="E54" s="58" t="s">
        <v>269</v>
      </c>
      <c r="F54" s="137">
        <v>39154</v>
      </c>
      <c r="G54" s="138"/>
      <c r="H54" s="139">
        <v>40</v>
      </c>
      <c r="I54" s="139">
        <v>10</v>
      </c>
      <c r="J54" s="139">
        <v>10</v>
      </c>
      <c r="K54" s="139">
        <v>3</v>
      </c>
      <c r="L54" s="138">
        <f>111393+270+86+267+1357</f>
        <v>113373</v>
      </c>
      <c r="M54" s="330">
        <f>I54/H54</f>
        <v>0.25</v>
      </c>
      <c r="N54" s="330">
        <f>SUM(I54:K54)/H54</f>
        <v>0.57499999999999996</v>
      </c>
      <c r="O54" s="138">
        <f>L54/H54</f>
        <v>2834.3249999999998</v>
      </c>
      <c r="P54" s="56" t="s">
        <v>1976</v>
      </c>
      <c r="Q54" s="56" t="s">
        <v>308</v>
      </c>
      <c r="R54" s="58" t="s">
        <v>4646</v>
      </c>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BA54" s="141">
        <f>IF(I54="","",IF(I54=0,0,1))</f>
        <v>1</v>
      </c>
    </row>
    <row r="55" spans="1:53" s="140" customFormat="1" ht="12" customHeight="1" x14ac:dyDescent="0.15">
      <c r="A55" s="58" t="s">
        <v>357</v>
      </c>
      <c r="B55" s="58" t="s">
        <v>10</v>
      </c>
      <c r="C55" s="58" t="s">
        <v>578</v>
      </c>
      <c r="D55" s="58" t="s">
        <v>445</v>
      </c>
      <c r="E55" s="58" t="s">
        <v>339</v>
      </c>
      <c r="F55" s="137">
        <v>39140</v>
      </c>
      <c r="G55" s="138"/>
      <c r="H55" s="139">
        <v>19</v>
      </c>
      <c r="I55" s="139">
        <v>3</v>
      </c>
      <c r="J55" s="139">
        <v>1</v>
      </c>
      <c r="K55" s="139">
        <v>4</v>
      </c>
      <c r="L55" s="138">
        <v>115619</v>
      </c>
      <c r="M55" s="330">
        <f t="shared" si="2"/>
        <v>0.15789473684210525</v>
      </c>
      <c r="N55" s="330">
        <f t="shared" si="3"/>
        <v>0.42105263157894735</v>
      </c>
      <c r="O55" s="138">
        <f t="shared" si="4"/>
        <v>6085.2105263157891</v>
      </c>
      <c r="P55" s="56" t="s">
        <v>1604</v>
      </c>
      <c r="Q55" s="56" t="s">
        <v>8</v>
      </c>
      <c r="R55" s="139" t="s">
        <v>9</v>
      </c>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BA55" s="141">
        <f t="shared" si="5"/>
        <v>1</v>
      </c>
    </row>
    <row r="56" spans="1:53" s="140" customFormat="1" ht="12" customHeight="1" x14ac:dyDescent="0.15">
      <c r="A56" s="58" t="s">
        <v>135</v>
      </c>
      <c r="B56" s="58" t="s">
        <v>1159</v>
      </c>
      <c r="C56" s="58" t="s">
        <v>1093</v>
      </c>
      <c r="D56" s="58" t="s">
        <v>937</v>
      </c>
      <c r="E56" s="58" t="s">
        <v>247</v>
      </c>
      <c r="F56" s="137">
        <v>39194</v>
      </c>
      <c r="G56" s="138"/>
      <c r="H56" s="139">
        <v>12</v>
      </c>
      <c r="I56" s="139">
        <v>4</v>
      </c>
      <c r="J56" s="139">
        <v>0</v>
      </c>
      <c r="K56" s="139">
        <v>1</v>
      </c>
      <c r="L56" s="138">
        <v>117400</v>
      </c>
      <c r="M56" s="330">
        <f>I56/H56</f>
        <v>0.33333333333333331</v>
      </c>
      <c r="N56" s="330">
        <f>SUM(I56:K56)/H56</f>
        <v>0.41666666666666669</v>
      </c>
      <c r="O56" s="138">
        <f>L56/H56</f>
        <v>9783.3333333333339</v>
      </c>
      <c r="P56" s="56" t="s">
        <v>1604</v>
      </c>
      <c r="Q56" s="56"/>
      <c r="R56" s="139" t="s">
        <v>2418</v>
      </c>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BA56" s="141">
        <f>IF(I56="","",IF(I56=0,0,1))</f>
        <v>1</v>
      </c>
    </row>
    <row r="57" spans="1:53" s="140" customFormat="1" ht="12" customHeight="1" x14ac:dyDescent="0.15">
      <c r="A57" s="58" t="s">
        <v>479</v>
      </c>
      <c r="B57" s="58" t="s">
        <v>130</v>
      </c>
      <c r="C57" s="58" t="s">
        <v>862</v>
      </c>
      <c r="D57" s="58" t="s">
        <v>863</v>
      </c>
      <c r="E57" s="58" t="s">
        <v>245</v>
      </c>
      <c r="F57" s="137">
        <v>39213</v>
      </c>
      <c r="G57" s="138"/>
      <c r="H57" s="139">
        <v>54</v>
      </c>
      <c r="I57" s="139">
        <v>5</v>
      </c>
      <c r="J57" s="139">
        <v>9</v>
      </c>
      <c r="K57" s="139">
        <v>5</v>
      </c>
      <c r="L57" s="138">
        <f>112333+785+9420+0+960+192+960+384+5400+270+135</f>
        <v>130839</v>
      </c>
      <c r="M57" s="330">
        <f>I57/H57</f>
        <v>9.2592592592592587E-2</v>
      </c>
      <c r="N57" s="330">
        <f>SUM(I57:K57)/H57</f>
        <v>0.35185185185185186</v>
      </c>
      <c r="O57" s="138">
        <f>L57/H57</f>
        <v>2422.9444444444443</v>
      </c>
      <c r="P57" s="56" t="s">
        <v>3172</v>
      </c>
      <c r="Q57" s="56"/>
      <c r="R57" s="139" t="s">
        <v>4268</v>
      </c>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BA57" s="141">
        <f>IF(I57="","",IF(I57=0,0,1))</f>
        <v>1</v>
      </c>
    </row>
    <row r="58" spans="1:53" s="140" customFormat="1" ht="12" customHeight="1" x14ac:dyDescent="0.15">
      <c r="A58" s="58" t="s">
        <v>994</v>
      </c>
      <c r="B58" s="58" t="s">
        <v>111</v>
      </c>
      <c r="C58" s="58" t="s">
        <v>928</v>
      </c>
      <c r="D58" s="58" t="s">
        <v>895</v>
      </c>
      <c r="E58" s="58" t="s">
        <v>186</v>
      </c>
      <c r="F58" s="137">
        <v>39126</v>
      </c>
      <c r="G58" s="138"/>
      <c r="H58" s="139">
        <v>62</v>
      </c>
      <c r="I58" s="139">
        <v>12</v>
      </c>
      <c r="J58" s="139">
        <v>11</v>
      </c>
      <c r="K58" s="139">
        <v>10</v>
      </c>
      <c r="L58" s="138">
        <f>102210+950+95+3120+1040+3120+1440+3968+860+3840+960+1200+360+1400+120+600+1420+6420+6420</f>
        <v>139543</v>
      </c>
      <c r="M58" s="330">
        <f>I58/H58</f>
        <v>0.19354838709677419</v>
      </c>
      <c r="N58" s="330">
        <f>SUM(I58:K58)/H58</f>
        <v>0.532258064516129</v>
      </c>
      <c r="O58" s="138">
        <f>L58/H58</f>
        <v>2250.6935483870966</v>
      </c>
      <c r="P58" s="56" t="s">
        <v>4128</v>
      </c>
      <c r="Q58" s="56"/>
      <c r="R58" s="139" t="s">
        <v>5383</v>
      </c>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BA58" s="141">
        <f>IF(I58="","",IF(I58=0,0,1))</f>
        <v>1</v>
      </c>
    </row>
    <row r="59" spans="1:53" s="140" customFormat="1" ht="12" customHeight="1" x14ac:dyDescent="0.15">
      <c r="A59" s="58" t="s">
        <v>913</v>
      </c>
      <c r="B59" s="58" t="s">
        <v>1511</v>
      </c>
      <c r="C59" s="58" t="s">
        <v>660</v>
      </c>
      <c r="D59" s="58" t="s">
        <v>610</v>
      </c>
      <c r="E59" s="58" t="s">
        <v>207</v>
      </c>
      <c r="F59" s="137">
        <v>39149</v>
      </c>
      <c r="G59" s="138"/>
      <c r="H59" s="139">
        <v>14</v>
      </c>
      <c r="I59" s="139">
        <v>5</v>
      </c>
      <c r="J59" s="139">
        <v>4</v>
      </c>
      <c r="K59" s="139">
        <v>1</v>
      </c>
      <c r="L59" s="138">
        <f>101835+28200+9600+660</f>
        <v>140295</v>
      </c>
      <c r="M59" s="330">
        <f t="shared" si="2"/>
        <v>0.35714285714285715</v>
      </c>
      <c r="N59" s="330">
        <f t="shared" si="3"/>
        <v>0.7142857142857143</v>
      </c>
      <c r="O59" s="138">
        <f t="shared" si="4"/>
        <v>10021.071428571429</v>
      </c>
      <c r="P59" s="56" t="s">
        <v>1708</v>
      </c>
      <c r="Q59" s="56" t="s">
        <v>1311</v>
      </c>
      <c r="R59" s="139" t="s">
        <v>1814</v>
      </c>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BA59" s="141">
        <f t="shared" si="5"/>
        <v>1</v>
      </c>
    </row>
    <row r="60" spans="1:53" s="140" customFormat="1" ht="12" customHeight="1" x14ac:dyDescent="0.15">
      <c r="A60" s="58" t="s">
        <v>369</v>
      </c>
      <c r="B60" s="58" t="s">
        <v>713</v>
      </c>
      <c r="C60" s="58" t="s">
        <v>572</v>
      </c>
      <c r="D60" s="58" t="s">
        <v>725</v>
      </c>
      <c r="E60" s="58" t="s">
        <v>291</v>
      </c>
      <c r="F60" s="137">
        <v>39186</v>
      </c>
      <c r="G60" s="138"/>
      <c r="H60" s="139">
        <v>34</v>
      </c>
      <c r="I60" s="139">
        <v>7</v>
      </c>
      <c r="J60" s="139">
        <v>3</v>
      </c>
      <c r="K60" s="139">
        <v>4</v>
      </c>
      <c r="L60" s="138">
        <f>125260+3240+200+960+750+500+500+500+250+375+250+2800+2800+570+840+12600+420</f>
        <v>152815</v>
      </c>
      <c r="M60" s="330">
        <f>I60/H60</f>
        <v>0.20588235294117646</v>
      </c>
      <c r="N60" s="330">
        <f>SUM(I60:K60)/H60</f>
        <v>0.41176470588235292</v>
      </c>
      <c r="O60" s="138">
        <f>L60/H60</f>
        <v>4494.5588235294117</v>
      </c>
      <c r="P60" s="56" t="s">
        <v>2519</v>
      </c>
      <c r="Q60" s="56"/>
      <c r="R60" s="139" t="s">
        <v>2518</v>
      </c>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BA60" s="141">
        <f>IF(I60="","",IF(I60=0,0,1))</f>
        <v>1</v>
      </c>
    </row>
    <row r="61" spans="1:53" s="140" customFormat="1" ht="12" customHeight="1" x14ac:dyDescent="0.15">
      <c r="A61" s="58" t="s">
        <v>367</v>
      </c>
      <c r="B61" s="58" t="s">
        <v>713</v>
      </c>
      <c r="C61" s="58" t="s">
        <v>985</v>
      </c>
      <c r="D61" s="58" t="s">
        <v>824</v>
      </c>
      <c r="E61" s="58" t="s">
        <v>263</v>
      </c>
      <c r="F61" s="137">
        <v>39149</v>
      </c>
      <c r="G61" s="138">
        <v>170000</v>
      </c>
      <c r="H61" s="139">
        <v>36</v>
      </c>
      <c r="I61" s="139">
        <v>2</v>
      </c>
      <c r="J61" s="139">
        <v>8</v>
      </c>
      <c r="K61" s="139">
        <v>2</v>
      </c>
      <c r="L61" s="138">
        <f>123010+1500+500+6000+7000+3740+990+840+5600+870+700+1100+4000+460+460+1140</f>
        <v>157910</v>
      </c>
      <c r="M61" s="330">
        <f>I61/H61</f>
        <v>5.5555555555555552E-2</v>
      </c>
      <c r="N61" s="330">
        <f>SUM(I61:K61)/H61</f>
        <v>0.33333333333333331</v>
      </c>
      <c r="O61" s="138">
        <f>L61/H61</f>
        <v>4386.3888888888887</v>
      </c>
      <c r="P61" s="56" t="s">
        <v>4128</v>
      </c>
      <c r="Q61" s="56"/>
      <c r="R61" s="139" t="s">
        <v>4648</v>
      </c>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BA61" s="141">
        <f>IF(I61="","",IF(I61=0,0,1))</f>
        <v>1</v>
      </c>
    </row>
    <row r="62" spans="1:53" s="140" customFormat="1" ht="12" customHeight="1" x14ac:dyDescent="0.15">
      <c r="A62" s="58" t="s">
        <v>1121</v>
      </c>
      <c r="B62" s="58" t="s">
        <v>112</v>
      </c>
      <c r="C62" s="58" t="s">
        <v>727</v>
      </c>
      <c r="D62" s="58" t="s">
        <v>957</v>
      </c>
      <c r="E62" s="58" t="s">
        <v>1272</v>
      </c>
      <c r="F62" s="137">
        <v>39178</v>
      </c>
      <c r="G62" s="138"/>
      <c r="H62" s="139">
        <v>21</v>
      </c>
      <c r="I62" s="139">
        <v>3</v>
      </c>
      <c r="J62" s="139">
        <v>4</v>
      </c>
      <c r="K62" s="139">
        <v>5</v>
      </c>
      <c r="L62" s="138">
        <f>183560+990+1000</f>
        <v>185550</v>
      </c>
      <c r="M62" s="330">
        <f t="shared" si="2"/>
        <v>0.14285714285714285</v>
      </c>
      <c r="N62" s="330">
        <f t="shared" si="3"/>
        <v>0.5714285714285714</v>
      </c>
      <c r="O62" s="138">
        <f t="shared" si="4"/>
        <v>8835.7142857142862</v>
      </c>
      <c r="P62" s="56" t="s">
        <v>1604</v>
      </c>
      <c r="Q62" s="56"/>
      <c r="R62" s="139" t="s">
        <v>4433</v>
      </c>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BA62" s="141">
        <f t="shared" si="5"/>
        <v>1</v>
      </c>
    </row>
    <row r="63" spans="1:53" s="140" customFormat="1" ht="12" customHeight="1" x14ac:dyDescent="0.15">
      <c r="A63" s="58" t="s">
        <v>406</v>
      </c>
      <c r="B63" s="58" t="s">
        <v>1513</v>
      </c>
      <c r="C63" s="58" t="s">
        <v>1113</v>
      </c>
      <c r="D63" s="58" t="s">
        <v>459</v>
      </c>
      <c r="E63" s="58" t="s">
        <v>167</v>
      </c>
      <c r="F63" s="137">
        <v>39108</v>
      </c>
      <c r="G63" s="138">
        <v>100000</v>
      </c>
      <c r="H63" s="139">
        <v>12</v>
      </c>
      <c r="I63" s="139">
        <v>4</v>
      </c>
      <c r="J63" s="139">
        <v>3</v>
      </c>
      <c r="K63" s="139">
        <v>1</v>
      </c>
      <c r="L63" s="138">
        <f>119961+12000+60000</f>
        <v>191961</v>
      </c>
      <c r="M63" s="330">
        <f t="shared" si="2"/>
        <v>0.33333333333333331</v>
      </c>
      <c r="N63" s="330">
        <f t="shared" si="3"/>
        <v>0.66666666666666663</v>
      </c>
      <c r="O63" s="138">
        <f t="shared" si="4"/>
        <v>15996.75</v>
      </c>
      <c r="P63" s="56" t="s">
        <v>1689</v>
      </c>
      <c r="Q63" s="56" t="s">
        <v>344</v>
      </c>
      <c r="R63" s="139" t="s">
        <v>1903</v>
      </c>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BA63" s="141">
        <f t="shared" si="5"/>
        <v>1</v>
      </c>
    </row>
    <row r="64" spans="1:53" s="140" customFormat="1" ht="12" customHeight="1" x14ac:dyDescent="0.15">
      <c r="A64" s="58" t="s">
        <v>359</v>
      </c>
      <c r="B64" s="58" t="s">
        <v>112</v>
      </c>
      <c r="C64" s="58" t="s">
        <v>519</v>
      </c>
      <c r="D64" s="58" t="s">
        <v>820</v>
      </c>
      <c r="E64" s="58" t="s">
        <v>291</v>
      </c>
      <c r="F64" s="137">
        <v>39151</v>
      </c>
      <c r="G64" s="138"/>
      <c r="H64" s="139">
        <v>47</v>
      </c>
      <c r="I64" s="139">
        <v>8</v>
      </c>
      <c r="J64" s="139">
        <v>5</v>
      </c>
      <c r="K64" s="139">
        <v>16</v>
      </c>
      <c r="L64" s="138">
        <f>81810+750+3000+1500+288+6048+1800+15000+18600+4400+230+375+200+18600+2420+2090+14400+3300+1500+2000+1000+3400+2000+1700+900+765+1920+600+6000+0+1485+0+1925</f>
        <v>200006</v>
      </c>
      <c r="M64" s="330">
        <f>I64/H64</f>
        <v>0.1702127659574468</v>
      </c>
      <c r="N64" s="330">
        <f>SUM(I64:K64)/H64</f>
        <v>0.61702127659574468</v>
      </c>
      <c r="O64" s="138">
        <f>L64/H64</f>
        <v>4255.4468085106382</v>
      </c>
      <c r="P64" s="56" t="s">
        <v>3172</v>
      </c>
      <c r="Q64" s="56"/>
      <c r="R64" s="139" t="s">
        <v>3451</v>
      </c>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BA64" s="141">
        <f>IF(I64="","",IF(I64=0,0,1))</f>
        <v>1</v>
      </c>
    </row>
    <row r="65" spans="1:53" s="140" customFormat="1" ht="12" customHeight="1" x14ac:dyDescent="0.15">
      <c r="A65" s="58" t="s">
        <v>1037</v>
      </c>
      <c r="B65" s="58" t="s">
        <v>969</v>
      </c>
      <c r="C65" s="58" t="s">
        <v>1017</v>
      </c>
      <c r="D65" s="58" t="s">
        <v>819</v>
      </c>
      <c r="E65" s="58" t="s">
        <v>241</v>
      </c>
      <c r="F65" s="137">
        <v>39127</v>
      </c>
      <c r="G65" s="138">
        <v>150000</v>
      </c>
      <c r="H65" s="139">
        <v>24</v>
      </c>
      <c r="I65" s="139">
        <v>4</v>
      </c>
      <c r="J65" s="139">
        <v>7</v>
      </c>
      <c r="K65" s="139">
        <v>7</v>
      </c>
      <c r="L65" s="138">
        <f>117892+13800+14800+2370+340+9000+47400+7900+750+6900+15000+42600+14200+3900+250</f>
        <v>297102</v>
      </c>
      <c r="M65" s="330">
        <f>I65/H65</f>
        <v>0.16666666666666666</v>
      </c>
      <c r="N65" s="330">
        <f>SUM(I65:K65)/H65</f>
        <v>0.75</v>
      </c>
      <c r="O65" s="138">
        <f>L65/H65</f>
        <v>12379.25</v>
      </c>
      <c r="P65" s="56" t="s">
        <v>1976</v>
      </c>
      <c r="Q65" s="56"/>
      <c r="R65" s="139" t="s">
        <v>4645</v>
      </c>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BA65" s="141">
        <f>IF(I65="","",IF(I65=0,0,1))</f>
        <v>1</v>
      </c>
    </row>
    <row r="66" spans="1:53" s="140" customFormat="1" ht="12" customHeight="1" x14ac:dyDescent="0.15">
      <c r="A66" s="58" t="s">
        <v>375</v>
      </c>
      <c r="B66" s="58" t="s">
        <v>1503</v>
      </c>
      <c r="C66" s="58" t="s">
        <v>977</v>
      </c>
      <c r="D66" s="58" t="s">
        <v>978</v>
      </c>
      <c r="E66" s="58" t="s">
        <v>174</v>
      </c>
      <c r="F66" s="137">
        <v>39222</v>
      </c>
      <c r="G66" s="138"/>
      <c r="H66" s="139">
        <v>19</v>
      </c>
      <c r="I66" s="139">
        <v>5</v>
      </c>
      <c r="J66" s="139">
        <v>8</v>
      </c>
      <c r="K66" s="139">
        <v>4</v>
      </c>
      <c r="L66" s="138">
        <f>266396+51000+15000</f>
        <v>332396</v>
      </c>
      <c r="M66" s="330">
        <f>I66/H66</f>
        <v>0.26315789473684209</v>
      </c>
      <c r="N66" s="330">
        <f>SUM(I66:K66)/H66</f>
        <v>0.89473684210526316</v>
      </c>
      <c r="O66" s="138">
        <f>L66/H66</f>
        <v>17494.526315789473</v>
      </c>
      <c r="P66" s="56" t="s">
        <v>1976</v>
      </c>
      <c r="Q66" s="56"/>
      <c r="R66" s="139" t="s">
        <v>4482</v>
      </c>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BA66" s="141">
        <f>IF(I66="","",IF(I66=0,0,1))</f>
        <v>1</v>
      </c>
    </row>
    <row r="67" spans="1:53" s="140" customFormat="1" ht="12" customHeight="1" x14ac:dyDescent="0.15">
      <c r="A67" s="58" t="s">
        <v>1120</v>
      </c>
      <c r="B67" s="58" t="s">
        <v>713</v>
      </c>
      <c r="C67" s="58" t="s">
        <v>847</v>
      </c>
      <c r="D67" s="58" t="s">
        <v>484</v>
      </c>
      <c r="E67" s="58" t="s">
        <v>276</v>
      </c>
      <c r="F67" s="137">
        <v>39185</v>
      </c>
      <c r="G67" s="138">
        <v>30000</v>
      </c>
      <c r="H67" s="139">
        <v>50</v>
      </c>
      <c r="I67" s="139">
        <v>6</v>
      </c>
      <c r="J67" s="139">
        <v>7</v>
      </c>
      <c r="K67" s="139">
        <v>14</v>
      </c>
      <c r="L67" s="138">
        <f>272975+40000+10500+15000+1500+20000+3000+0+1200+4400+1500+700+500+1380+8800+125+0+900+1080</f>
        <v>383560</v>
      </c>
      <c r="M67" s="330">
        <f>I67/H67</f>
        <v>0.12</v>
      </c>
      <c r="N67" s="330">
        <f>SUM(I67:K67)/H67</f>
        <v>0.54</v>
      </c>
      <c r="O67" s="138">
        <f>L67/H67</f>
        <v>7671.2</v>
      </c>
      <c r="P67" s="56" t="s">
        <v>4128</v>
      </c>
      <c r="Q67" s="56" t="s">
        <v>1311</v>
      </c>
      <c r="R67" s="139" t="s">
        <v>4960</v>
      </c>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BA67" s="141">
        <f>IF(I67="","",IF(I67=0,0,1))</f>
        <v>1</v>
      </c>
    </row>
    <row r="68" spans="1:53" s="140" customFormat="1" ht="12" customHeight="1" x14ac:dyDescent="0.15">
      <c r="A68" s="58" t="s">
        <v>1172</v>
      </c>
      <c r="B68" s="58" t="s">
        <v>1505</v>
      </c>
      <c r="C68" s="58" t="s">
        <v>992</v>
      </c>
      <c r="D68" s="58" t="s">
        <v>927</v>
      </c>
      <c r="E68" s="58" t="s">
        <v>337</v>
      </c>
      <c r="F68" s="137">
        <v>39111</v>
      </c>
      <c r="G68" s="138">
        <v>250000</v>
      </c>
      <c r="H68" s="139">
        <v>15</v>
      </c>
      <c r="I68" s="139">
        <v>4</v>
      </c>
      <c r="J68" s="139">
        <v>4</v>
      </c>
      <c r="K68" s="139">
        <v>3</v>
      </c>
      <c r="L68" s="138">
        <f>334156+720+7985+17190+6000+9000+30000</f>
        <v>405051</v>
      </c>
      <c r="M68" s="330">
        <f t="shared" si="2"/>
        <v>0.26666666666666666</v>
      </c>
      <c r="N68" s="330">
        <f t="shared" si="3"/>
        <v>0.73333333333333328</v>
      </c>
      <c r="O68" s="138">
        <f t="shared" si="4"/>
        <v>27003.4</v>
      </c>
      <c r="P68" s="56" t="s">
        <v>1604</v>
      </c>
      <c r="Q68" s="56" t="s">
        <v>1309</v>
      </c>
      <c r="R68" s="139" t="s">
        <v>1627</v>
      </c>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BA68" s="141">
        <f t="shared" si="5"/>
        <v>1</v>
      </c>
    </row>
    <row r="69" spans="1:53" s="90" customFormat="1" ht="12" customHeight="1" x14ac:dyDescent="0.15">
      <c r="A69" s="142" t="s">
        <v>796</v>
      </c>
      <c r="B69" s="142" t="s">
        <v>113</v>
      </c>
      <c r="C69" s="142" t="s">
        <v>746</v>
      </c>
      <c r="D69" s="142" t="s">
        <v>899</v>
      </c>
      <c r="E69" s="142" t="s">
        <v>219</v>
      </c>
      <c r="F69" s="143">
        <v>39134</v>
      </c>
      <c r="G69" s="144">
        <v>200000</v>
      </c>
      <c r="H69" s="145">
        <v>1</v>
      </c>
      <c r="I69" s="145">
        <v>0</v>
      </c>
      <c r="J69" s="145">
        <v>0</v>
      </c>
      <c r="K69" s="145">
        <v>0</v>
      </c>
      <c r="L69" s="144">
        <v>0</v>
      </c>
      <c r="M69" s="331">
        <f t="shared" si="2"/>
        <v>0</v>
      </c>
      <c r="N69" s="331">
        <f t="shared" si="3"/>
        <v>0</v>
      </c>
      <c r="O69" s="144">
        <f t="shared" si="4"/>
        <v>0</v>
      </c>
      <c r="P69" s="147" t="s">
        <v>1604</v>
      </c>
      <c r="Q69" s="147" t="s">
        <v>82</v>
      </c>
      <c r="R69" s="142" t="s">
        <v>2110</v>
      </c>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BA69" s="141">
        <f t="shared" si="5"/>
        <v>0</v>
      </c>
    </row>
    <row r="70" spans="1:53" s="90" customFormat="1" ht="12" customHeight="1" x14ac:dyDescent="0.15">
      <c r="A70" s="142" t="s">
        <v>689</v>
      </c>
      <c r="B70" s="142" t="s">
        <v>969</v>
      </c>
      <c r="C70" s="142" t="s">
        <v>837</v>
      </c>
      <c r="D70" s="142" t="s">
        <v>672</v>
      </c>
      <c r="E70" s="142" t="s">
        <v>193</v>
      </c>
      <c r="F70" s="143">
        <v>39200</v>
      </c>
      <c r="G70" s="144">
        <v>130000</v>
      </c>
      <c r="H70" s="145">
        <v>3</v>
      </c>
      <c r="I70" s="145">
        <v>0</v>
      </c>
      <c r="J70" s="145">
        <v>0</v>
      </c>
      <c r="K70" s="145">
        <v>1</v>
      </c>
      <c r="L70" s="144">
        <f>401+296</f>
        <v>697</v>
      </c>
      <c r="M70" s="331">
        <f t="shared" si="2"/>
        <v>0</v>
      </c>
      <c r="N70" s="331">
        <f t="shared" si="3"/>
        <v>0.33333333333333331</v>
      </c>
      <c r="O70" s="144">
        <f t="shared" si="4"/>
        <v>232.33333333333334</v>
      </c>
      <c r="P70" s="147" t="s">
        <v>1708</v>
      </c>
      <c r="Q70" s="147" t="s">
        <v>1306</v>
      </c>
      <c r="R70" s="142" t="s">
        <v>1851</v>
      </c>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BA70" s="141">
        <f t="shared" si="5"/>
        <v>0</v>
      </c>
    </row>
    <row r="71" spans="1:53" s="140" customFormat="1" ht="12" customHeight="1" x14ac:dyDescent="0.15">
      <c r="A71" s="142" t="s">
        <v>826</v>
      </c>
      <c r="B71" s="142" t="s">
        <v>111</v>
      </c>
      <c r="C71" s="142" t="s">
        <v>449</v>
      </c>
      <c r="D71" s="142" t="s">
        <v>974</v>
      </c>
      <c r="E71" s="142" t="s">
        <v>260</v>
      </c>
      <c r="F71" s="143">
        <v>39144</v>
      </c>
      <c r="G71" s="144">
        <v>10000</v>
      </c>
      <c r="H71" s="145">
        <v>4</v>
      </c>
      <c r="I71" s="145">
        <v>0</v>
      </c>
      <c r="J71" s="145">
        <v>0</v>
      </c>
      <c r="K71" s="145">
        <v>0</v>
      </c>
      <c r="L71" s="144">
        <f>110+1560</f>
        <v>1670</v>
      </c>
      <c r="M71" s="331">
        <f t="shared" si="2"/>
        <v>0</v>
      </c>
      <c r="N71" s="331">
        <f t="shared" si="3"/>
        <v>0</v>
      </c>
      <c r="O71" s="144">
        <f t="shared" si="4"/>
        <v>417.5</v>
      </c>
      <c r="P71" s="147" t="s">
        <v>1601</v>
      </c>
      <c r="Q71" s="147" t="s">
        <v>1278</v>
      </c>
      <c r="R71" s="142" t="s">
        <v>1500</v>
      </c>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90"/>
      <c r="BA71" s="141">
        <f t="shared" si="5"/>
        <v>0</v>
      </c>
    </row>
    <row r="72" spans="1:53" s="90" customFormat="1" ht="12" customHeight="1" x14ac:dyDescent="0.15">
      <c r="A72" s="142" t="s">
        <v>566</v>
      </c>
      <c r="B72" s="142" t="s">
        <v>348</v>
      </c>
      <c r="C72" s="142" t="s">
        <v>645</v>
      </c>
      <c r="D72" s="142" t="s">
        <v>951</v>
      </c>
      <c r="E72" s="142" t="s">
        <v>646</v>
      </c>
      <c r="F72" s="143">
        <v>39119</v>
      </c>
      <c r="G72" s="144"/>
      <c r="H72" s="145">
        <v>5</v>
      </c>
      <c r="I72" s="145">
        <v>0</v>
      </c>
      <c r="J72" s="145">
        <v>0</v>
      </c>
      <c r="K72" s="145">
        <v>1</v>
      </c>
      <c r="L72" s="144">
        <f>2530</f>
        <v>2530</v>
      </c>
      <c r="M72" s="331">
        <f t="shared" si="2"/>
        <v>0</v>
      </c>
      <c r="N72" s="331">
        <f t="shared" si="3"/>
        <v>0.2</v>
      </c>
      <c r="O72" s="144">
        <f t="shared" si="4"/>
        <v>506</v>
      </c>
      <c r="P72" s="147" t="s">
        <v>1601</v>
      </c>
      <c r="Q72" s="147"/>
      <c r="R72" s="142" t="s">
        <v>2022</v>
      </c>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BA72" s="141">
        <f t="shared" si="5"/>
        <v>0</v>
      </c>
    </row>
    <row r="73" spans="1:53" s="90" customFormat="1" ht="12" customHeight="1" x14ac:dyDescent="0.15">
      <c r="A73" s="142" t="s">
        <v>1100</v>
      </c>
      <c r="B73" s="142" t="s">
        <v>1511</v>
      </c>
      <c r="C73" s="142" t="s">
        <v>690</v>
      </c>
      <c r="D73" s="142" t="s">
        <v>728</v>
      </c>
      <c r="E73" s="142" t="s">
        <v>295</v>
      </c>
      <c r="F73" s="143">
        <v>39128</v>
      </c>
      <c r="G73" s="144">
        <v>300000</v>
      </c>
      <c r="H73" s="145">
        <v>2</v>
      </c>
      <c r="I73" s="145">
        <v>0</v>
      </c>
      <c r="J73" s="145">
        <v>0</v>
      </c>
      <c r="K73" s="145">
        <v>0</v>
      </c>
      <c r="L73" s="144">
        <f>1530+1400</f>
        <v>2930</v>
      </c>
      <c r="M73" s="331">
        <f t="shared" si="2"/>
        <v>0</v>
      </c>
      <c r="N73" s="331">
        <f t="shared" si="3"/>
        <v>0</v>
      </c>
      <c r="O73" s="144">
        <f>L73/H73</f>
        <v>1465</v>
      </c>
      <c r="P73" s="147" t="s">
        <v>1604</v>
      </c>
      <c r="Q73" s="147"/>
      <c r="R73" s="142" t="s">
        <v>2297</v>
      </c>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BA73" s="141">
        <f>IF(I73="","",IF(I73=0,0,1))</f>
        <v>0</v>
      </c>
    </row>
    <row r="74" spans="1:53" s="90" customFormat="1" ht="12" customHeight="1" x14ac:dyDescent="0.15">
      <c r="A74" s="142" t="s">
        <v>1020</v>
      </c>
      <c r="B74" s="142" t="s">
        <v>112</v>
      </c>
      <c r="C74" s="142" t="s">
        <v>579</v>
      </c>
      <c r="D74" s="142" t="s">
        <v>769</v>
      </c>
      <c r="E74" s="142" t="s">
        <v>183</v>
      </c>
      <c r="F74" s="143">
        <v>39127</v>
      </c>
      <c r="G74" s="144">
        <v>15000</v>
      </c>
      <c r="H74" s="145">
        <v>3</v>
      </c>
      <c r="I74" s="145">
        <v>0</v>
      </c>
      <c r="J74" s="145">
        <v>0</v>
      </c>
      <c r="K74" s="145">
        <v>1</v>
      </c>
      <c r="L74" s="144">
        <f>840+2100+80</f>
        <v>3020</v>
      </c>
      <c r="M74" s="331">
        <f t="shared" si="2"/>
        <v>0</v>
      </c>
      <c r="N74" s="331">
        <f t="shared" si="3"/>
        <v>0.33333333333333331</v>
      </c>
      <c r="O74" s="144">
        <f t="shared" si="4"/>
        <v>1006.6666666666666</v>
      </c>
      <c r="P74" s="147" t="s">
        <v>1604</v>
      </c>
      <c r="Q74" s="147"/>
      <c r="R74" s="142" t="s">
        <v>16</v>
      </c>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86"/>
      <c r="BA74" s="141">
        <f t="shared" si="5"/>
        <v>0</v>
      </c>
    </row>
    <row r="75" spans="1:53" s="90" customFormat="1" ht="12" customHeight="1" x14ac:dyDescent="0.15">
      <c r="A75" s="142" t="s">
        <v>1165</v>
      </c>
      <c r="B75" s="142" t="s">
        <v>1967</v>
      </c>
      <c r="C75" s="142" t="s">
        <v>1029</v>
      </c>
      <c r="D75" s="142" t="s">
        <v>1030</v>
      </c>
      <c r="E75" s="142" t="s">
        <v>160</v>
      </c>
      <c r="F75" s="143">
        <v>39184</v>
      </c>
      <c r="G75" s="144"/>
      <c r="H75" s="145">
        <v>1</v>
      </c>
      <c r="I75" s="145">
        <v>0</v>
      </c>
      <c r="J75" s="145">
        <v>0</v>
      </c>
      <c r="K75" s="145">
        <v>1</v>
      </c>
      <c r="L75" s="144">
        <v>3080</v>
      </c>
      <c r="M75" s="331">
        <f t="shared" si="2"/>
        <v>0</v>
      </c>
      <c r="N75" s="331">
        <f t="shared" si="3"/>
        <v>1</v>
      </c>
      <c r="O75" s="144">
        <f t="shared" si="4"/>
        <v>3080</v>
      </c>
      <c r="P75" s="147" t="s">
        <v>1601</v>
      </c>
      <c r="Q75" s="147"/>
      <c r="R75" s="142" t="s">
        <v>2520</v>
      </c>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BA75" s="141">
        <f t="shared" si="5"/>
        <v>0</v>
      </c>
    </row>
    <row r="76" spans="1:53" s="90" customFormat="1" ht="12" customHeight="1" x14ac:dyDescent="0.15">
      <c r="A76" s="142" t="s">
        <v>1146</v>
      </c>
      <c r="B76" s="142" t="s">
        <v>111</v>
      </c>
      <c r="C76" s="142" t="s">
        <v>1028</v>
      </c>
      <c r="D76" s="142" t="s">
        <v>983</v>
      </c>
      <c r="E76" s="142" t="s">
        <v>278</v>
      </c>
      <c r="F76" s="143">
        <v>39167</v>
      </c>
      <c r="G76" s="144">
        <v>7000</v>
      </c>
      <c r="H76" s="145">
        <v>7</v>
      </c>
      <c r="I76" s="145">
        <v>0</v>
      </c>
      <c r="J76" s="145">
        <v>1</v>
      </c>
      <c r="K76" s="145">
        <v>2</v>
      </c>
      <c r="L76" s="144">
        <v>3357</v>
      </c>
      <c r="M76" s="331">
        <f>I76/H76</f>
        <v>0</v>
      </c>
      <c r="N76" s="331">
        <f>SUM(I76:K76)/H76</f>
        <v>0.42857142857142855</v>
      </c>
      <c r="O76" s="144">
        <f>L76/H76</f>
        <v>479.57142857142856</v>
      </c>
      <c r="P76" s="147" t="s">
        <v>1604</v>
      </c>
      <c r="Q76" s="147" t="s">
        <v>299</v>
      </c>
      <c r="R76" s="142" t="s">
        <v>2346</v>
      </c>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BA76" s="141">
        <f>IF(I76="","",IF(I76=0,0,1))</f>
        <v>0</v>
      </c>
    </row>
    <row r="77" spans="1:53" s="90" customFormat="1" ht="12" customHeight="1" x14ac:dyDescent="0.15">
      <c r="A77" s="142" t="s">
        <v>1130</v>
      </c>
      <c r="B77" s="142" t="s">
        <v>1654</v>
      </c>
      <c r="C77" s="142" t="s">
        <v>567</v>
      </c>
      <c r="D77" s="142" t="s">
        <v>958</v>
      </c>
      <c r="E77" s="142" t="s">
        <v>230</v>
      </c>
      <c r="F77" s="143">
        <v>39134</v>
      </c>
      <c r="G77" s="144">
        <v>200000</v>
      </c>
      <c r="H77" s="145">
        <v>3</v>
      </c>
      <c r="I77" s="145">
        <v>0</v>
      </c>
      <c r="J77" s="145">
        <v>0</v>
      </c>
      <c r="K77" s="145">
        <v>1</v>
      </c>
      <c r="L77" s="144">
        <v>4690</v>
      </c>
      <c r="M77" s="331">
        <f t="shared" si="2"/>
        <v>0</v>
      </c>
      <c r="N77" s="331">
        <f t="shared" si="3"/>
        <v>0.33333333333333331</v>
      </c>
      <c r="O77" s="144">
        <f>L77/H77</f>
        <v>1563.3333333333333</v>
      </c>
      <c r="P77" s="147" t="s">
        <v>1689</v>
      </c>
      <c r="Q77" s="147"/>
      <c r="R77" s="142" t="s">
        <v>3377</v>
      </c>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BA77" s="141">
        <f>IF(I77="","",IF(I77=0,0,1))</f>
        <v>0</v>
      </c>
    </row>
    <row r="78" spans="1:53" s="90" customFormat="1" ht="12" customHeight="1" x14ac:dyDescent="0.15">
      <c r="A78" s="142" t="s">
        <v>354</v>
      </c>
      <c r="B78" s="142" t="s">
        <v>1641</v>
      </c>
      <c r="C78" s="142" t="s">
        <v>1111</v>
      </c>
      <c r="D78" s="142" t="s">
        <v>1112</v>
      </c>
      <c r="E78" s="142" t="s">
        <v>259</v>
      </c>
      <c r="F78" s="143">
        <v>39160</v>
      </c>
      <c r="G78" s="144">
        <v>20000</v>
      </c>
      <c r="H78" s="145">
        <v>4</v>
      </c>
      <c r="I78" s="145">
        <v>0</v>
      </c>
      <c r="J78" s="145">
        <v>1</v>
      </c>
      <c r="K78" s="145">
        <v>0</v>
      </c>
      <c r="L78" s="144">
        <f>5808+1400</f>
        <v>7208</v>
      </c>
      <c r="M78" s="331">
        <f t="shared" si="2"/>
        <v>0</v>
      </c>
      <c r="N78" s="331">
        <f t="shared" si="3"/>
        <v>0.25</v>
      </c>
      <c r="O78" s="144">
        <f t="shared" si="4"/>
        <v>1802</v>
      </c>
      <c r="P78" s="147" t="s">
        <v>1592</v>
      </c>
      <c r="Q78" s="147"/>
      <c r="R78" s="142" t="s">
        <v>592</v>
      </c>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BA78" s="141">
        <f t="shared" si="5"/>
        <v>0</v>
      </c>
    </row>
    <row r="79" spans="1:53" s="90" customFormat="1" ht="12" customHeight="1" x14ac:dyDescent="0.15">
      <c r="A79" s="142" t="s">
        <v>461</v>
      </c>
      <c r="B79" s="142" t="s">
        <v>1511</v>
      </c>
      <c r="C79" s="142" t="s">
        <v>896</v>
      </c>
      <c r="D79" s="142" t="s">
        <v>459</v>
      </c>
      <c r="E79" s="142" t="s">
        <v>213</v>
      </c>
      <c r="F79" s="143">
        <v>39158</v>
      </c>
      <c r="G79" s="144">
        <v>50000</v>
      </c>
      <c r="H79" s="145">
        <v>24</v>
      </c>
      <c r="I79" s="145">
        <v>0</v>
      </c>
      <c r="J79" s="145">
        <v>3</v>
      </c>
      <c r="K79" s="145">
        <v>8</v>
      </c>
      <c r="L79" s="144">
        <f>48+1283+633+2414+1125+2010+290+356+404+184+186+0</f>
        <v>8933</v>
      </c>
      <c r="M79" s="331">
        <f>I79/H79</f>
        <v>0</v>
      </c>
      <c r="N79" s="331">
        <f>SUM(I79:K79)/H79</f>
        <v>0.45833333333333331</v>
      </c>
      <c r="O79" s="144">
        <f>L79/H79</f>
        <v>372.20833333333331</v>
      </c>
      <c r="P79" s="147" t="s">
        <v>1689</v>
      </c>
      <c r="Q79" s="147"/>
      <c r="R79" s="142" t="s">
        <v>3356</v>
      </c>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BA79" s="141">
        <f>IF(I79="","",IF(I79=0,0,1))</f>
        <v>0</v>
      </c>
    </row>
    <row r="80" spans="1:53" s="90" customFormat="1" ht="12" customHeight="1" x14ac:dyDescent="0.15">
      <c r="A80" s="142" t="s">
        <v>499</v>
      </c>
      <c r="B80" s="142" t="s">
        <v>111</v>
      </c>
      <c r="C80" s="142" t="s">
        <v>908</v>
      </c>
      <c r="D80" s="142" t="s">
        <v>801</v>
      </c>
      <c r="E80" s="142" t="s">
        <v>271</v>
      </c>
      <c r="F80" s="143">
        <v>39168</v>
      </c>
      <c r="G80" s="144">
        <v>300000</v>
      </c>
      <c r="H80" s="145">
        <v>5</v>
      </c>
      <c r="I80" s="145">
        <v>0</v>
      </c>
      <c r="J80" s="145">
        <v>1</v>
      </c>
      <c r="K80" s="145">
        <v>1</v>
      </c>
      <c r="L80" s="144">
        <v>19272</v>
      </c>
      <c r="M80" s="331">
        <f>I80/H80</f>
        <v>0</v>
      </c>
      <c r="N80" s="331">
        <f>SUM(I80:K80)/H80</f>
        <v>0.4</v>
      </c>
      <c r="O80" s="144">
        <f>L80/H80</f>
        <v>3854.4</v>
      </c>
      <c r="P80" s="147" t="s">
        <v>1604</v>
      </c>
      <c r="Q80" s="147" t="s">
        <v>343</v>
      </c>
      <c r="R80" s="142" t="s">
        <v>3376</v>
      </c>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BA80" s="141">
        <f>IF(I80="","",IF(I80=0,0,1))</f>
        <v>0</v>
      </c>
    </row>
    <row r="81" spans="1:53" s="90" customFormat="1" ht="12" customHeight="1" x14ac:dyDescent="0.15">
      <c r="A81" s="142" t="s">
        <v>1233</v>
      </c>
      <c r="B81" s="142" t="s">
        <v>713</v>
      </c>
      <c r="C81" s="142" t="s">
        <v>905</v>
      </c>
      <c r="D81" s="142" t="s">
        <v>906</v>
      </c>
      <c r="E81" s="142" t="s">
        <v>342</v>
      </c>
      <c r="F81" s="143">
        <v>39198</v>
      </c>
      <c r="G81" s="144"/>
      <c r="H81" s="145">
        <v>15</v>
      </c>
      <c r="I81" s="145">
        <v>0</v>
      </c>
      <c r="J81" s="145">
        <v>2</v>
      </c>
      <c r="K81" s="145">
        <v>3</v>
      </c>
      <c r="L81" s="144">
        <v>34757</v>
      </c>
      <c r="M81" s="331">
        <f t="shared" si="2"/>
        <v>0</v>
      </c>
      <c r="N81" s="331">
        <f t="shared" si="3"/>
        <v>0.33333333333333331</v>
      </c>
      <c r="O81" s="144">
        <f t="shared" si="4"/>
        <v>2317.1333333333332</v>
      </c>
      <c r="P81" s="147" t="s">
        <v>1689</v>
      </c>
      <c r="Q81" s="147"/>
      <c r="R81" s="142" t="s">
        <v>1886</v>
      </c>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BA81" s="141">
        <f t="shared" si="5"/>
        <v>0</v>
      </c>
    </row>
    <row r="82" spans="1:53" s="140" customFormat="1" ht="12" customHeight="1" x14ac:dyDescent="0.15">
      <c r="A82" s="51" t="s">
        <v>494</v>
      </c>
      <c r="B82" s="51" t="s">
        <v>111</v>
      </c>
      <c r="C82" s="51" t="s">
        <v>1103</v>
      </c>
      <c r="D82" s="51" t="s">
        <v>925</v>
      </c>
      <c r="E82" s="51" t="s">
        <v>206</v>
      </c>
      <c r="F82" s="85">
        <v>39104</v>
      </c>
      <c r="G82" s="86">
        <v>40000</v>
      </c>
      <c r="H82" s="87"/>
      <c r="I82" s="87"/>
      <c r="J82" s="87"/>
      <c r="K82" s="87"/>
      <c r="L82" s="86" t="s">
        <v>391</v>
      </c>
      <c r="M82" s="333" t="str">
        <f>IF(H82="","--",I82/H82)</f>
        <v>--</v>
      </c>
      <c r="N82" s="333" t="str">
        <f>IF(H82="","--",SUM(I82:K82)/H82)</f>
        <v>--</v>
      </c>
      <c r="O82" s="86"/>
      <c r="P82" s="89" t="s">
        <v>1601</v>
      </c>
      <c r="Q82" s="89" t="s">
        <v>326</v>
      </c>
      <c r="R82" s="51" t="s">
        <v>2037</v>
      </c>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13"/>
      <c r="BA82" s="141" t="str">
        <f t="shared" si="5"/>
        <v/>
      </c>
    </row>
    <row r="83" spans="1:53" s="90" customFormat="1" ht="12" customHeight="1" x14ac:dyDescent="0.15">
      <c r="A83" s="51" t="s">
        <v>200</v>
      </c>
      <c r="B83" s="51" t="s">
        <v>1513</v>
      </c>
      <c r="C83" s="51" t="s">
        <v>754</v>
      </c>
      <c r="D83" s="51" t="s">
        <v>952</v>
      </c>
      <c r="E83" s="51" t="s">
        <v>270</v>
      </c>
      <c r="F83" s="85">
        <v>39170</v>
      </c>
      <c r="G83" s="86">
        <v>4500</v>
      </c>
      <c r="H83" s="87"/>
      <c r="I83" s="87"/>
      <c r="J83" s="87"/>
      <c r="K83" s="87"/>
      <c r="L83" s="86" t="s">
        <v>391</v>
      </c>
      <c r="M83" s="333" t="str">
        <f t="shared" ref="M83:M96" si="6">IF(H83="","--",I83/H83)</f>
        <v>--</v>
      </c>
      <c r="N83" s="333" t="str">
        <f t="shared" ref="N83:N96" si="7">IF(H83="","--",SUM(I83:K83)/H83)</f>
        <v>--</v>
      </c>
      <c r="O83" s="86"/>
      <c r="P83" s="89" t="s">
        <v>1601</v>
      </c>
      <c r="Q83" s="89" t="s">
        <v>90</v>
      </c>
      <c r="R83" s="51" t="s">
        <v>2113</v>
      </c>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13"/>
      <c r="BA83" s="141" t="str">
        <f>IF(I83="","",IF(I83=0,0,1))</f>
        <v/>
      </c>
    </row>
    <row r="84" spans="1:53" s="90" customFormat="1" ht="12" customHeight="1" x14ac:dyDescent="0.15">
      <c r="A84" s="51" t="s">
        <v>1123</v>
      </c>
      <c r="B84" s="51" t="s">
        <v>1513</v>
      </c>
      <c r="C84" s="51" t="s">
        <v>886</v>
      </c>
      <c r="D84" s="51" t="s">
        <v>504</v>
      </c>
      <c r="E84" s="51" t="s">
        <v>187</v>
      </c>
      <c r="F84" s="85">
        <v>39196</v>
      </c>
      <c r="G84" s="86"/>
      <c r="H84" s="87"/>
      <c r="I84" s="87"/>
      <c r="J84" s="87"/>
      <c r="K84" s="87"/>
      <c r="L84" s="86" t="s">
        <v>391</v>
      </c>
      <c r="M84" s="333" t="str">
        <f t="shared" si="6"/>
        <v>--</v>
      </c>
      <c r="N84" s="333" t="str">
        <f t="shared" si="7"/>
        <v>--</v>
      </c>
      <c r="O84" s="86"/>
      <c r="P84" s="89" t="s">
        <v>1601</v>
      </c>
      <c r="Q84" s="89"/>
      <c r="R84" s="51" t="s">
        <v>2023</v>
      </c>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13"/>
      <c r="BA84" s="141" t="str">
        <f t="shared" si="5"/>
        <v/>
      </c>
    </row>
    <row r="85" spans="1:53" s="90" customFormat="1" ht="12" customHeight="1" x14ac:dyDescent="0.15">
      <c r="A85" s="51" t="s">
        <v>396</v>
      </c>
      <c r="B85" s="51" t="s">
        <v>112</v>
      </c>
      <c r="C85" s="51" t="s">
        <v>1087</v>
      </c>
      <c r="D85" s="51" t="s">
        <v>1088</v>
      </c>
      <c r="E85" s="51" t="s">
        <v>1457</v>
      </c>
      <c r="F85" s="85">
        <v>39117</v>
      </c>
      <c r="G85" s="86">
        <v>9000</v>
      </c>
      <c r="H85" s="87"/>
      <c r="I85" s="87"/>
      <c r="J85" s="87"/>
      <c r="K85" s="87"/>
      <c r="L85" s="86" t="s">
        <v>391</v>
      </c>
      <c r="M85" s="333" t="str">
        <f t="shared" si="6"/>
        <v>--</v>
      </c>
      <c r="N85" s="333" t="str">
        <f t="shared" si="7"/>
        <v>--</v>
      </c>
      <c r="O85" s="86"/>
      <c r="P85" s="89" t="s">
        <v>1601</v>
      </c>
      <c r="Q85" s="89"/>
      <c r="R85" s="51" t="s">
        <v>2411</v>
      </c>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13"/>
      <c r="BA85" s="141" t="str">
        <f t="shared" si="5"/>
        <v/>
      </c>
    </row>
    <row r="86" spans="1:53" s="90" customFormat="1" ht="12" customHeight="1" x14ac:dyDescent="0.15">
      <c r="A86" s="51" t="s">
        <v>1047</v>
      </c>
      <c r="B86" s="51" t="s">
        <v>111</v>
      </c>
      <c r="C86" s="51" t="s">
        <v>1690</v>
      </c>
      <c r="D86" s="51" t="s">
        <v>790</v>
      </c>
      <c r="E86" s="51" t="s">
        <v>137</v>
      </c>
      <c r="F86" s="85">
        <v>39179</v>
      </c>
      <c r="G86" s="86">
        <v>190000</v>
      </c>
      <c r="H86" s="87"/>
      <c r="I86" s="87"/>
      <c r="J86" s="87"/>
      <c r="K86" s="87"/>
      <c r="L86" s="86" t="s">
        <v>391</v>
      </c>
      <c r="M86" s="333" t="str">
        <f t="shared" si="6"/>
        <v>--</v>
      </c>
      <c r="N86" s="333" t="str">
        <f t="shared" si="7"/>
        <v>--</v>
      </c>
      <c r="O86" s="86"/>
      <c r="P86" s="89" t="s">
        <v>1604</v>
      </c>
      <c r="Q86" s="89" t="s">
        <v>343</v>
      </c>
      <c r="R86" s="51" t="s">
        <v>2390</v>
      </c>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13"/>
      <c r="BA86" s="141" t="str">
        <f t="shared" si="5"/>
        <v/>
      </c>
    </row>
    <row r="87" spans="1:53" s="140" customFormat="1" ht="12" customHeight="1" x14ac:dyDescent="0.15">
      <c r="A87" s="51" t="s">
        <v>735</v>
      </c>
      <c r="B87" s="51" t="s">
        <v>1655</v>
      </c>
      <c r="C87" s="51" t="s">
        <v>1115</v>
      </c>
      <c r="D87" s="51" t="s">
        <v>1118</v>
      </c>
      <c r="E87" s="51" t="s">
        <v>161</v>
      </c>
      <c r="F87" s="85">
        <v>39132</v>
      </c>
      <c r="G87" s="86"/>
      <c r="H87" s="87"/>
      <c r="I87" s="87"/>
      <c r="J87" s="87"/>
      <c r="K87" s="87"/>
      <c r="L87" s="86" t="s">
        <v>391</v>
      </c>
      <c r="M87" s="333" t="str">
        <f t="shared" si="6"/>
        <v>--</v>
      </c>
      <c r="N87" s="333" t="str">
        <f t="shared" si="7"/>
        <v>--</v>
      </c>
      <c r="O87" s="86"/>
      <c r="P87" s="89" t="s">
        <v>1604</v>
      </c>
      <c r="Q87" s="89"/>
      <c r="R87" s="51" t="s">
        <v>3499</v>
      </c>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13"/>
      <c r="BA87" s="141" t="str">
        <f t="shared" si="5"/>
        <v/>
      </c>
    </row>
    <row r="88" spans="1:53" s="90" customFormat="1" ht="12" customHeight="1" x14ac:dyDescent="0.15">
      <c r="A88" s="51" t="s">
        <v>611</v>
      </c>
      <c r="B88" s="51" t="s">
        <v>1657</v>
      </c>
      <c r="C88" s="51" t="s">
        <v>918</v>
      </c>
      <c r="D88" s="51" t="s">
        <v>753</v>
      </c>
      <c r="E88" s="51" t="s">
        <v>228</v>
      </c>
      <c r="F88" s="85">
        <v>39102</v>
      </c>
      <c r="G88" s="86">
        <v>3500</v>
      </c>
      <c r="H88" s="87"/>
      <c r="I88" s="87"/>
      <c r="J88" s="87"/>
      <c r="K88" s="87"/>
      <c r="L88" s="86" t="s">
        <v>391</v>
      </c>
      <c r="M88" s="333" t="str">
        <f t="shared" si="6"/>
        <v>--</v>
      </c>
      <c r="N88" s="333" t="str">
        <f t="shared" si="7"/>
        <v>--</v>
      </c>
      <c r="O88" s="86"/>
      <c r="P88" s="89" t="s">
        <v>1601</v>
      </c>
      <c r="Q88" s="89" t="s">
        <v>1624</v>
      </c>
      <c r="R88" s="51" t="s">
        <v>101</v>
      </c>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13"/>
      <c r="BA88" s="141" t="str">
        <f t="shared" si="5"/>
        <v/>
      </c>
    </row>
    <row r="89" spans="1:53" ht="12" customHeight="1" x14ac:dyDescent="0.15">
      <c r="A89" s="70" t="s">
        <v>1177</v>
      </c>
      <c r="B89" s="70" t="s">
        <v>1650</v>
      </c>
      <c r="C89" s="70" t="s">
        <v>941</v>
      </c>
      <c r="D89" s="70" t="s">
        <v>864</v>
      </c>
      <c r="E89" s="70" t="s">
        <v>202</v>
      </c>
      <c r="F89" s="91">
        <v>39148</v>
      </c>
      <c r="G89" s="92"/>
      <c r="H89" s="87"/>
      <c r="I89" s="87"/>
      <c r="J89" s="87"/>
      <c r="K89" s="87"/>
      <c r="L89" s="92" t="s">
        <v>391</v>
      </c>
      <c r="M89" s="333" t="str">
        <f t="shared" si="6"/>
        <v>--</v>
      </c>
      <c r="N89" s="333" t="str">
        <f t="shared" si="7"/>
        <v>--</v>
      </c>
      <c r="O89" s="92"/>
      <c r="P89" s="95" t="s">
        <v>1602</v>
      </c>
      <c r="Q89" s="95"/>
      <c r="R89" s="70" t="s">
        <v>1845</v>
      </c>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BA89" s="141" t="str">
        <f t="shared" si="5"/>
        <v/>
      </c>
    </row>
    <row r="90" spans="1:53" s="90" customFormat="1" ht="12" customHeight="1" x14ac:dyDescent="0.15">
      <c r="A90" s="51" t="s">
        <v>360</v>
      </c>
      <c r="B90" s="51" t="s">
        <v>1651</v>
      </c>
      <c r="C90" s="51" t="s">
        <v>571</v>
      </c>
      <c r="D90" s="51" t="s">
        <v>820</v>
      </c>
      <c r="E90" s="51" t="s">
        <v>138</v>
      </c>
      <c r="F90" s="85">
        <v>39175</v>
      </c>
      <c r="G90" s="86"/>
      <c r="H90" s="87"/>
      <c r="I90" s="87"/>
      <c r="J90" s="87"/>
      <c r="K90" s="87"/>
      <c r="L90" s="86" t="s">
        <v>391</v>
      </c>
      <c r="M90" s="333" t="str">
        <f t="shared" si="6"/>
        <v>--</v>
      </c>
      <c r="N90" s="333" t="str">
        <f t="shared" si="7"/>
        <v>--</v>
      </c>
      <c r="O90" s="92"/>
      <c r="P90" s="95" t="s">
        <v>1603</v>
      </c>
      <c r="Q90" s="89"/>
      <c r="R90" s="51" t="s">
        <v>3201</v>
      </c>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13"/>
      <c r="BA90" s="141" t="str">
        <f t="shared" si="5"/>
        <v/>
      </c>
    </row>
    <row r="91" spans="1:53" s="90" customFormat="1" ht="12" customHeight="1" x14ac:dyDescent="0.15">
      <c r="A91" s="51" t="s">
        <v>1011</v>
      </c>
      <c r="B91" s="51" t="s">
        <v>1644</v>
      </c>
      <c r="C91" s="51" t="s">
        <v>1012</v>
      </c>
      <c r="D91" s="51" t="s">
        <v>555</v>
      </c>
      <c r="E91" s="51" t="s">
        <v>139</v>
      </c>
      <c r="F91" s="85">
        <v>39122</v>
      </c>
      <c r="G91" s="86"/>
      <c r="H91" s="87"/>
      <c r="I91" s="87"/>
      <c r="J91" s="87"/>
      <c r="K91" s="87"/>
      <c r="L91" s="86" t="s">
        <v>391</v>
      </c>
      <c r="M91" s="333" t="str">
        <f t="shared" si="6"/>
        <v>--</v>
      </c>
      <c r="N91" s="333" t="str">
        <f t="shared" si="7"/>
        <v>--</v>
      </c>
      <c r="O91" s="86"/>
      <c r="P91" s="89" t="s">
        <v>1592</v>
      </c>
      <c r="Q91" s="89"/>
      <c r="R91" s="51" t="s">
        <v>686</v>
      </c>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13"/>
      <c r="BA91" s="141" t="str">
        <f t="shared" si="5"/>
        <v/>
      </c>
    </row>
    <row r="92" spans="1:53" s="90" customFormat="1" ht="12" customHeight="1" x14ac:dyDescent="0.15">
      <c r="A92" s="51" t="s">
        <v>1092</v>
      </c>
      <c r="B92" s="51" t="s">
        <v>1642</v>
      </c>
      <c r="C92" s="51" t="s">
        <v>982</v>
      </c>
      <c r="D92" s="51" t="s">
        <v>948</v>
      </c>
      <c r="E92" s="51"/>
      <c r="F92" s="85">
        <v>39158</v>
      </c>
      <c r="G92" s="86"/>
      <c r="H92" s="87"/>
      <c r="I92" s="87"/>
      <c r="J92" s="87"/>
      <c r="K92" s="87"/>
      <c r="L92" s="86"/>
      <c r="M92" s="333" t="str">
        <f t="shared" si="6"/>
        <v>--</v>
      </c>
      <c r="N92" s="333" t="str">
        <f t="shared" si="7"/>
        <v>--</v>
      </c>
      <c r="O92" s="86"/>
      <c r="P92" s="89" t="s">
        <v>1597</v>
      </c>
      <c r="Q92" s="89"/>
      <c r="R92" s="51" t="s">
        <v>691</v>
      </c>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13"/>
      <c r="BA92" s="141" t="str">
        <f t="shared" si="5"/>
        <v/>
      </c>
    </row>
    <row r="93" spans="1:53" s="90" customFormat="1" ht="12" customHeight="1" x14ac:dyDescent="0.15">
      <c r="A93" s="51" t="s">
        <v>363</v>
      </c>
      <c r="B93" s="51" t="s">
        <v>112</v>
      </c>
      <c r="C93" s="51" t="s">
        <v>1107</v>
      </c>
      <c r="D93" s="51" t="s">
        <v>958</v>
      </c>
      <c r="E93" s="51" t="s">
        <v>166</v>
      </c>
      <c r="F93" s="85">
        <v>39117</v>
      </c>
      <c r="G93" s="86">
        <v>6500</v>
      </c>
      <c r="H93" s="87"/>
      <c r="I93" s="87"/>
      <c r="J93" s="87"/>
      <c r="K93" s="87"/>
      <c r="L93" s="86" t="s">
        <v>391</v>
      </c>
      <c r="M93" s="333" t="str">
        <f t="shared" si="6"/>
        <v>--</v>
      </c>
      <c r="N93" s="333" t="str">
        <f t="shared" si="7"/>
        <v>--</v>
      </c>
      <c r="O93" s="92"/>
      <c r="P93" s="95" t="s">
        <v>1602</v>
      </c>
      <c r="Q93" s="89"/>
      <c r="R93" s="51" t="s">
        <v>1846</v>
      </c>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13"/>
      <c r="BA93" s="141" t="str">
        <f t="shared" si="5"/>
        <v/>
      </c>
    </row>
    <row r="94" spans="1:53" s="90" customFormat="1" ht="12" customHeight="1" x14ac:dyDescent="0.15">
      <c r="A94" s="51" t="s">
        <v>1551</v>
      </c>
      <c r="B94" s="51" t="s">
        <v>1511</v>
      </c>
      <c r="C94" s="51" t="s">
        <v>802</v>
      </c>
      <c r="D94" s="51" t="s">
        <v>803</v>
      </c>
      <c r="E94" s="51" t="s">
        <v>195</v>
      </c>
      <c r="F94" s="85">
        <v>39231</v>
      </c>
      <c r="G94" s="86"/>
      <c r="H94" s="87"/>
      <c r="I94" s="87"/>
      <c r="J94" s="87"/>
      <c r="K94" s="87"/>
      <c r="L94" s="86" t="s">
        <v>391</v>
      </c>
      <c r="M94" s="333" t="str">
        <f t="shared" si="6"/>
        <v>--</v>
      </c>
      <c r="N94" s="333" t="str">
        <f t="shared" si="7"/>
        <v>--</v>
      </c>
      <c r="O94" s="86"/>
      <c r="P94" s="89" t="s">
        <v>1849</v>
      </c>
      <c r="Q94" s="89"/>
      <c r="R94" s="51" t="s">
        <v>1847</v>
      </c>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13"/>
      <c r="BA94" s="141" t="str">
        <f>IF(I94="","",IF(I94=0,0,1))</f>
        <v/>
      </c>
    </row>
    <row r="95" spans="1:53" s="90" customFormat="1" ht="12" customHeight="1" x14ac:dyDescent="0.15">
      <c r="A95" s="51" t="s">
        <v>1551</v>
      </c>
      <c r="B95" s="51" t="s">
        <v>116</v>
      </c>
      <c r="C95" s="51" t="s">
        <v>633</v>
      </c>
      <c r="D95" s="51" t="s">
        <v>910</v>
      </c>
      <c r="E95" s="51"/>
      <c r="F95" s="85">
        <v>39158</v>
      </c>
      <c r="G95" s="86"/>
      <c r="H95" s="87"/>
      <c r="I95" s="87"/>
      <c r="J95" s="87"/>
      <c r="K95" s="87"/>
      <c r="L95" s="86" t="s">
        <v>391</v>
      </c>
      <c r="M95" s="333" t="str">
        <f t="shared" si="6"/>
        <v>--</v>
      </c>
      <c r="N95" s="333" t="str">
        <f t="shared" si="7"/>
        <v>--</v>
      </c>
      <c r="O95" s="86"/>
      <c r="P95" s="89" t="s">
        <v>1849</v>
      </c>
      <c r="Q95" s="89" t="s">
        <v>1321</v>
      </c>
      <c r="R95" s="51" t="s">
        <v>1848</v>
      </c>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13"/>
      <c r="BA95" s="141" t="str">
        <f>IF(I95="","",IF(I95=0,0,1))</f>
        <v/>
      </c>
    </row>
    <row r="96" spans="1:53" s="90" customFormat="1" ht="12" customHeight="1" x14ac:dyDescent="0.15">
      <c r="A96" s="51" t="s">
        <v>1551</v>
      </c>
      <c r="B96" s="51" t="s">
        <v>1643</v>
      </c>
      <c r="C96" s="51" t="s">
        <v>1135</v>
      </c>
      <c r="D96" s="51" t="s">
        <v>901</v>
      </c>
      <c r="E96" s="51"/>
      <c r="F96" s="85">
        <v>39103</v>
      </c>
      <c r="G96" s="86"/>
      <c r="H96" s="87"/>
      <c r="I96" s="87"/>
      <c r="J96" s="87"/>
      <c r="K96" s="87"/>
      <c r="L96" s="86"/>
      <c r="M96" s="333" t="str">
        <f t="shared" si="6"/>
        <v>--</v>
      </c>
      <c r="N96" s="333" t="str">
        <f t="shared" si="7"/>
        <v>--</v>
      </c>
      <c r="O96" s="86"/>
      <c r="P96" s="89" t="s">
        <v>1597</v>
      </c>
      <c r="Q96" s="89"/>
      <c r="R96" s="51" t="s">
        <v>808</v>
      </c>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13"/>
      <c r="BA96" s="141" t="str">
        <f>IF(I96="","",IF(I96=0,0,1))</f>
        <v/>
      </c>
    </row>
    <row r="97" spans="1:53" ht="12" customHeight="1" x14ac:dyDescent="0.15">
      <c r="A97" s="51" t="s">
        <v>1551</v>
      </c>
      <c r="B97" s="6" t="s">
        <v>356</v>
      </c>
      <c r="C97" s="6" t="s">
        <v>541</v>
      </c>
      <c r="D97" s="6" t="s">
        <v>819</v>
      </c>
      <c r="E97" s="6" t="s">
        <v>1680</v>
      </c>
      <c r="F97" s="187" t="s">
        <v>1960</v>
      </c>
      <c r="G97" s="181"/>
      <c r="H97" s="182"/>
      <c r="I97" s="182"/>
      <c r="J97" s="182"/>
      <c r="K97" s="182"/>
      <c r="L97" s="181"/>
      <c r="M97" s="181"/>
      <c r="N97" s="181"/>
      <c r="O97" s="181"/>
      <c r="P97" s="89" t="s">
        <v>1597</v>
      </c>
      <c r="Q97" s="183"/>
      <c r="R97" s="6" t="s">
        <v>1682</v>
      </c>
    </row>
    <row r="98" spans="1:53" s="90" customFormat="1" ht="12" customHeight="1" x14ac:dyDescent="0.15">
      <c r="A98" s="70"/>
      <c r="B98" s="70"/>
      <c r="C98" s="70"/>
      <c r="D98" s="70"/>
      <c r="E98" s="70"/>
      <c r="F98" s="91"/>
      <c r="G98" s="92"/>
      <c r="H98" s="93"/>
      <c r="I98" s="93"/>
      <c r="J98" s="93"/>
      <c r="K98" s="93"/>
      <c r="L98" s="92"/>
      <c r="M98" s="92"/>
      <c r="N98" s="92"/>
      <c r="O98" s="92"/>
      <c r="P98" s="95"/>
      <c r="Q98" s="95"/>
      <c r="R98" s="70"/>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13"/>
      <c r="BA98" s="141"/>
    </row>
    <row r="99" spans="1:53" ht="12" customHeight="1" x14ac:dyDescent="0.15">
      <c r="D99" s="110" t="s">
        <v>3199</v>
      </c>
      <c r="L99" s="21"/>
      <c r="M99" s="21"/>
      <c r="N99" s="8"/>
      <c r="O99" s="8"/>
      <c r="Q99" s="75"/>
      <c r="BA99" s="141"/>
    </row>
    <row r="100" spans="1:53" s="90" customFormat="1" ht="12" customHeight="1" x14ac:dyDescent="0.15">
      <c r="A100" s="70"/>
      <c r="B100" s="70"/>
      <c r="C100" s="70"/>
      <c r="D100" s="70"/>
      <c r="E100" s="70"/>
      <c r="F100" s="91"/>
      <c r="G100" s="92"/>
      <c r="H100" s="93"/>
      <c r="I100" s="93"/>
      <c r="J100" s="93"/>
      <c r="K100" s="93"/>
      <c r="L100" s="92"/>
      <c r="M100" s="92"/>
      <c r="N100" s="92"/>
      <c r="O100" s="92"/>
      <c r="P100" s="95"/>
      <c r="Q100" s="95"/>
      <c r="R100" s="70"/>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13"/>
      <c r="BA100" s="141"/>
    </row>
    <row r="101" spans="1:53" s="90" customFormat="1" ht="12" customHeight="1" x14ac:dyDescent="0.15">
      <c r="A101" s="70"/>
      <c r="B101" s="70"/>
      <c r="C101" s="70"/>
      <c r="D101" s="70"/>
      <c r="E101" s="70"/>
      <c r="F101" s="91"/>
      <c r="G101" s="92"/>
      <c r="H101" s="93"/>
      <c r="I101" s="93"/>
      <c r="J101" s="93"/>
      <c r="K101" s="93"/>
      <c r="L101" s="92"/>
      <c r="M101" s="92"/>
      <c r="N101" s="92"/>
      <c r="O101" s="92"/>
      <c r="P101" s="95"/>
      <c r="Q101" s="95"/>
      <c r="R101" s="70"/>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13"/>
    </row>
    <row r="102" spans="1:53" ht="12" customHeight="1" x14ac:dyDescent="0.15">
      <c r="C102" s="110"/>
      <c r="G102" s="11" t="s">
        <v>1573</v>
      </c>
      <c r="H102" s="75">
        <f>COUNT(H$2:H$101)</f>
        <v>66</v>
      </c>
      <c r="I102" s="104"/>
      <c r="J102" s="104"/>
      <c r="K102" s="104"/>
      <c r="L102" s="166"/>
      <c r="M102" s="166"/>
      <c r="N102" s="166"/>
      <c r="O102" s="166"/>
      <c r="P102" s="6"/>
      <c r="Q102" s="149"/>
    </row>
    <row r="103" spans="1:53" ht="12" customHeight="1" x14ac:dyDescent="0.15">
      <c r="C103" s="110"/>
      <c r="G103" s="11" t="s">
        <v>1588</v>
      </c>
      <c r="H103" s="75">
        <f>BA103</f>
        <v>53</v>
      </c>
      <c r="I103" s="104"/>
      <c r="J103" s="104"/>
      <c r="K103" s="104"/>
      <c r="L103" s="166"/>
      <c r="M103" s="166"/>
      <c r="N103" s="166"/>
      <c r="O103" s="166"/>
      <c r="P103" s="6"/>
      <c r="Q103" s="149"/>
      <c r="BA103" s="14">
        <f>SUM(BA2:BA98)</f>
        <v>53</v>
      </c>
    </row>
    <row r="104" spans="1:53" ht="12" customHeight="1" x14ac:dyDescent="0.15">
      <c r="C104" s="110"/>
      <c r="G104" s="11" t="s">
        <v>1589</v>
      </c>
      <c r="H104" s="124">
        <f>H103/H102</f>
        <v>0.80303030303030298</v>
      </c>
      <c r="I104" s="104"/>
      <c r="J104" s="104"/>
      <c r="K104" s="104"/>
      <c r="L104" s="166"/>
      <c r="M104" s="166"/>
      <c r="N104" s="166"/>
      <c r="O104" s="166"/>
      <c r="P104" s="6"/>
      <c r="Q104" s="149"/>
    </row>
    <row r="105" spans="1:53" ht="12" customHeight="1" x14ac:dyDescent="0.15">
      <c r="P105" s="6"/>
    </row>
    <row r="106" spans="1:53" ht="12" customHeight="1" x14ac:dyDescent="0.15">
      <c r="A106" s="167"/>
      <c r="F106" s="105" t="s">
        <v>852</v>
      </c>
      <c r="G106" s="131">
        <f>SUM(G$4:G$101)/COUNT(G$4:G$101)</f>
        <v>109404.59183673469</v>
      </c>
      <c r="H106" s="185"/>
      <c r="I106" s="185"/>
      <c r="J106" s="185"/>
      <c r="K106" s="185"/>
      <c r="L106" s="184"/>
      <c r="M106" s="184"/>
      <c r="N106" s="184"/>
      <c r="O106" s="184"/>
      <c r="P106" s="171"/>
      <c r="Q106" s="171"/>
    </row>
    <row r="107" spans="1:53" ht="12" customHeight="1" x14ac:dyDescent="0.15">
      <c r="G107" s="165"/>
      <c r="H107" s="103"/>
      <c r="I107" s="103"/>
      <c r="J107" s="103"/>
      <c r="K107" s="103"/>
      <c r="L107" s="165"/>
      <c r="M107" s="165"/>
      <c r="N107" s="165"/>
      <c r="O107" s="165"/>
      <c r="P107" s="149"/>
      <c r="Q107" s="149"/>
    </row>
    <row r="108" spans="1:53" ht="12" customHeight="1" x14ac:dyDescent="0.15">
      <c r="F108" s="105"/>
      <c r="G108" s="173" t="s">
        <v>1148</v>
      </c>
      <c r="H108" s="154">
        <f>SUM(H$2:H$98)</f>
        <v>1178</v>
      </c>
      <c r="I108" s="154">
        <f>SUM(I$2:I$98)</f>
        <v>192</v>
      </c>
      <c r="J108" s="154">
        <f>SUM(J$2:J$98)</f>
        <v>187</v>
      </c>
      <c r="K108" s="154">
        <f>SUM(K$2:K$98)</f>
        <v>192</v>
      </c>
      <c r="L108" s="172">
        <f>SUM(L$2:L$98)</f>
        <v>5059927</v>
      </c>
      <c r="M108" s="172"/>
      <c r="N108" s="172"/>
      <c r="O108" s="172"/>
      <c r="P108" s="155"/>
      <c r="Q108" s="155"/>
      <c r="R108" s="37" t="s">
        <v>361</v>
      </c>
    </row>
    <row r="109" spans="1:53" ht="12" customHeight="1" x14ac:dyDescent="0.15">
      <c r="F109" s="105"/>
      <c r="G109" s="173" t="s">
        <v>39</v>
      </c>
      <c r="H109" s="154"/>
      <c r="I109" s="154"/>
      <c r="J109" s="154"/>
      <c r="K109" s="154"/>
      <c r="L109" s="173">
        <f>L108/H108</f>
        <v>4295.3539898132431</v>
      </c>
      <c r="M109" s="173"/>
      <c r="N109" s="173"/>
      <c r="O109" s="173"/>
      <c r="P109" s="155"/>
      <c r="Q109" s="155"/>
      <c r="R109" s="37"/>
    </row>
    <row r="110" spans="1:53" ht="12" customHeight="1" x14ac:dyDescent="0.15">
      <c r="B110" s="110"/>
      <c r="F110" s="71"/>
      <c r="G110" s="165" t="s">
        <v>1252</v>
      </c>
      <c r="H110" s="124">
        <f>I108/H108</f>
        <v>0.16298811544991512</v>
      </c>
      <c r="I110" s="103"/>
      <c r="J110" s="103"/>
      <c r="K110" s="103"/>
      <c r="L110" s="165"/>
      <c r="M110" s="165"/>
      <c r="N110" s="165"/>
      <c r="O110" s="165"/>
      <c r="P110" s="149"/>
      <c r="Q110" s="149"/>
    </row>
    <row r="111" spans="1:53" s="112" customFormat="1" ht="12" customHeight="1" x14ac:dyDescent="0.15">
      <c r="A111" s="126" t="s">
        <v>612</v>
      </c>
      <c r="B111" s="110"/>
      <c r="C111" s="110"/>
      <c r="D111" s="110"/>
      <c r="E111" s="110"/>
      <c r="F111" s="107"/>
      <c r="G111" s="165" t="s">
        <v>1253</v>
      </c>
      <c r="H111" s="124">
        <f>(SUM(I108:K108)/H108)</f>
        <v>0.48471986417657048</v>
      </c>
      <c r="I111" s="103"/>
      <c r="J111" s="103"/>
      <c r="K111" s="103"/>
      <c r="L111" s="165"/>
      <c r="M111" s="165"/>
      <c r="N111" s="165"/>
      <c r="O111" s="165"/>
      <c r="P111" s="149"/>
      <c r="Q111" s="149"/>
      <c r="R111" s="110"/>
      <c r="BA111" s="111"/>
    </row>
    <row r="112" spans="1:53" ht="12" customHeight="1" x14ac:dyDescent="0.15">
      <c r="C112" s="6" t="s">
        <v>581</v>
      </c>
      <c r="D112" s="6" t="s">
        <v>749</v>
      </c>
      <c r="G112" s="181"/>
      <c r="H112" s="182"/>
      <c r="I112" s="182"/>
      <c r="J112" s="182"/>
      <c r="K112" s="182"/>
      <c r="L112" s="181"/>
      <c r="M112" s="181"/>
      <c r="N112" s="181"/>
      <c r="O112" s="181"/>
      <c r="P112" s="183"/>
      <c r="Q112" s="183"/>
    </row>
    <row r="113" spans="1:17" ht="12" customHeight="1" x14ac:dyDescent="0.15">
      <c r="A113" s="113"/>
      <c r="G113" s="184"/>
      <c r="H113" s="185"/>
      <c r="I113" s="185"/>
      <c r="J113" s="185"/>
      <c r="K113" s="185"/>
      <c r="L113" s="184"/>
      <c r="M113" s="184"/>
      <c r="N113" s="184"/>
      <c r="O113" s="184"/>
      <c r="P113" s="171"/>
      <c r="Q113" s="171"/>
    </row>
    <row r="114" spans="1:17" ht="12" customHeight="1" x14ac:dyDescent="0.15">
      <c r="A114" s="113"/>
      <c r="G114" s="166"/>
      <c r="H114" s="104"/>
      <c r="I114" s="104"/>
      <c r="J114" s="104"/>
      <c r="K114" s="104"/>
      <c r="L114" s="166"/>
      <c r="M114" s="166"/>
      <c r="N114" s="166"/>
      <c r="O114" s="166"/>
      <c r="P114" s="149"/>
      <c r="Q114" s="149"/>
    </row>
    <row r="115" spans="1:17" ht="12" customHeight="1" x14ac:dyDescent="0.15">
      <c r="A115" s="113"/>
      <c r="G115" s="96"/>
      <c r="H115" s="103"/>
      <c r="I115" s="103"/>
      <c r="J115" s="103"/>
      <c r="K115" s="103"/>
      <c r="L115" s="96"/>
      <c r="M115" s="96"/>
      <c r="N115" s="96"/>
      <c r="O115" s="96"/>
      <c r="P115" s="149"/>
      <c r="Q115" s="149"/>
    </row>
    <row r="116" spans="1:17" ht="12" customHeight="1" x14ac:dyDescent="0.15">
      <c r="A116" s="135" t="s">
        <v>619</v>
      </c>
      <c r="G116" s="96"/>
      <c r="H116" s="103"/>
      <c r="I116" s="103"/>
      <c r="J116" s="103"/>
      <c r="K116" s="103"/>
      <c r="L116" s="96"/>
      <c r="M116" s="96"/>
      <c r="N116" s="96"/>
      <c r="O116" s="96"/>
      <c r="P116" s="149"/>
      <c r="Q116" s="149"/>
    </row>
    <row r="117" spans="1:17" ht="12" customHeight="1" x14ac:dyDescent="0.15">
      <c r="A117" s="113"/>
      <c r="G117" s="166"/>
      <c r="H117" s="104"/>
      <c r="I117" s="104"/>
      <c r="J117" s="104"/>
      <c r="K117" s="104"/>
      <c r="L117" s="166"/>
      <c r="M117" s="166"/>
      <c r="N117" s="166"/>
      <c r="O117" s="166"/>
      <c r="P117" s="149"/>
      <c r="Q117" s="149"/>
    </row>
    <row r="118" spans="1:17" ht="12" customHeight="1" x14ac:dyDescent="0.15"/>
    <row r="119" spans="1:17" ht="12" customHeight="1" x14ac:dyDescent="0.15"/>
    <row r="120" spans="1:17" ht="12" customHeight="1" x14ac:dyDescent="0.15"/>
    <row r="121" spans="1:17" ht="12" customHeight="1" x14ac:dyDescent="0.15"/>
    <row r="122" spans="1:17" ht="12" customHeight="1" x14ac:dyDescent="0.15"/>
    <row r="123" spans="1:17" ht="12" customHeight="1" x14ac:dyDescent="0.15"/>
    <row r="124" spans="1:17" ht="12" customHeight="1" x14ac:dyDescent="0.15"/>
    <row r="125" spans="1:17" ht="12" customHeight="1" x14ac:dyDescent="0.15"/>
    <row r="126" spans="1:17" ht="12" customHeight="1" x14ac:dyDescent="0.15"/>
    <row r="127" spans="1:17" ht="12" customHeight="1" x14ac:dyDescent="0.15"/>
    <row r="128" spans="1:17" ht="12" customHeight="1" x14ac:dyDescent="0.15"/>
    <row r="129" ht="12" customHeight="1" x14ac:dyDescent="0.15"/>
    <row r="130" ht="12" customHeight="1" x14ac:dyDescent="0.15"/>
    <row r="131" ht="12" customHeight="1" x14ac:dyDescent="0.15"/>
    <row r="132" ht="12" customHeight="1" x14ac:dyDescent="0.15"/>
  </sheetData>
  <sortState ref="A50:AY93">
    <sortCondition ref="L72:L87"/>
  </sortState>
  <phoneticPr fontId="2" type="noConversion"/>
  <pageMargins left="0.75" right="0.75" top="1" bottom="1" header="0.5" footer="0.5"/>
  <pageSetup orientation="portrait"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43"/>
  <sheetViews>
    <sheetView workbookViewId="0">
      <pane ySplit="3" topLeftCell="A4" activePane="bottomLeft" state="frozen"/>
      <selection pane="bottomLeft" activeCell="K9" sqref="K9"/>
    </sheetView>
  </sheetViews>
  <sheetFormatPr baseColWidth="10" defaultColWidth="9.1640625" defaultRowHeight="12" x14ac:dyDescent="0.15"/>
  <cols>
    <col min="1" max="1" width="18.83203125" style="6" customWidth="1"/>
    <col min="2" max="2" width="12.83203125" style="6" customWidth="1"/>
    <col min="3" max="3" width="23.33203125" style="6" customWidth="1"/>
    <col min="4" max="5" width="17.1640625" style="6" customWidth="1"/>
    <col min="6" max="6" width="10.5" style="17" customWidth="1"/>
    <col min="7" max="7" width="11.5" style="102" customWidth="1"/>
    <col min="8" max="8" width="5.33203125" style="75" customWidth="1"/>
    <col min="9" max="9" width="4.5" style="75" customWidth="1"/>
    <col min="10" max="10" width="4.6640625" style="75" customWidth="1"/>
    <col min="11" max="11" width="4.5" style="75" customWidth="1"/>
    <col min="12" max="12" width="12.83203125" style="102" customWidth="1"/>
    <col min="13" max="13" width="9.5" style="102" customWidth="1"/>
    <col min="14" max="15" width="5.33203125" style="102" customWidth="1"/>
    <col min="16" max="16" width="15" style="7" customWidth="1"/>
    <col min="17" max="17" width="13" style="7" customWidth="1"/>
    <col min="18" max="18" width="9.1640625" style="6"/>
    <col min="19" max="19" width="2.6640625" style="13" customWidth="1"/>
    <col min="20" max="20" width="9.1640625" style="13"/>
    <col min="21" max="21" width="11.5" style="13" customWidth="1"/>
    <col min="22" max="22" width="9.1640625" style="13"/>
    <col min="23" max="23" width="2.6640625" style="13" customWidth="1"/>
    <col min="24" max="52" width="9.1640625" style="13"/>
    <col min="53" max="53" width="9.1640625" style="14"/>
    <col min="54" max="16384" width="9.1640625" style="13"/>
  </cols>
  <sheetData>
    <row r="1" spans="1:53" ht="12" customHeight="1" x14ac:dyDescent="0.15">
      <c r="A1" s="6" t="s">
        <v>1949</v>
      </c>
    </row>
    <row r="2" spans="1:53" ht="12" customHeight="1" x14ac:dyDescent="0.15">
      <c r="A2" s="72"/>
      <c r="F2" s="175"/>
      <c r="G2" s="176" t="s">
        <v>436</v>
      </c>
      <c r="K2" s="76"/>
      <c r="L2" s="176" t="s">
        <v>624</v>
      </c>
      <c r="M2" s="176"/>
      <c r="N2" s="176"/>
      <c r="O2" s="176"/>
      <c r="T2" s="38"/>
      <c r="AB2" s="77"/>
    </row>
    <row r="3" spans="1:53" s="84" customFormat="1" ht="44" customHeight="1" thickBot="1" x14ac:dyDescent="0.2">
      <c r="A3" s="78" t="s">
        <v>720</v>
      </c>
      <c r="B3" s="78" t="s">
        <v>710</v>
      </c>
      <c r="C3" s="78" t="s">
        <v>844</v>
      </c>
      <c r="D3" s="78" t="s">
        <v>670</v>
      </c>
      <c r="E3" s="78" t="s">
        <v>310</v>
      </c>
      <c r="F3" s="177" t="s">
        <v>845</v>
      </c>
      <c r="G3" s="80" t="s">
        <v>635</v>
      </c>
      <c r="H3" s="81" t="s">
        <v>392</v>
      </c>
      <c r="I3" s="81" t="s">
        <v>393</v>
      </c>
      <c r="J3" s="81" t="s">
        <v>394</v>
      </c>
      <c r="K3" s="81" t="s">
        <v>395</v>
      </c>
      <c r="L3" s="80" t="s">
        <v>647</v>
      </c>
      <c r="M3" s="80" t="s">
        <v>1977</v>
      </c>
      <c r="N3" s="190" t="s">
        <v>2301</v>
      </c>
      <c r="O3" s="190" t="s">
        <v>2302</v>
      </c>
      <c r="P3" s="81" t="s">
        <v>1242</v>
      </c>
      <c r="Q3" s="81" t="s">
        <v>1263</v>
      </c>
      <c r="R3" s="78" t="s">
        <v>669</v>
      </c>
      <c r="S3" s="162"/>
      <c r="T3" s="162"/>
      <c r="BA3" s="163"/>
    </row>
    <row r="4" spans="1:53" s="140" customFormat="1" ht="12" customHeight="1" thickTop="1" x14ac:dyDescent="0.15">
      <c r="A4" s="58" t="s">
        <v>351</v>
      </c>
      <c r="B4" s="58" t="s">
        <v>713</v>
      </c>
      <c r="C4" s="58" t="s">
        <v>1125</v>
      </c>
      <c r="D4" s="58" t="s">
        <v>1126</v>
      </c>
      <c r="E4" s="58" t="s">
        <v>1333</v>
      </c>
      <c r="F4" s="57">
        <v>39471</v>
      </c>
      <c r="G4" s="138"/>
      <c r="H4" s="139">
        <v>52</v>
      </c>
      <c r="I4" s="139">
        <v>8</v>
      </c>
      <c r="J4" s="139">
        <v>11</v>
      </c>
      <c r="K4" s="139">
        <v>13</v>
      </c>
      <c r="L4" s="138">
        <f>85452+1185+596+1186+1180</f>
        <v>89599</v>
      </c>
      <c r="M4" s="138">
        <f>L4/H4</f>
        <v>1723.0576923076924</v>
      </c>
      <c r="N4" s="330">
        <f>I4/H4</f>
        <v>0.15384615384615385</v>
      </c>
      <c r="O4" s="330">
        <f>SUM(I4:K4)/H4</f>
        <v>0.61538461538461542</v>
      </c>
      <c r="P4" s="56" t="s">
        <v>5656</v>
      </c>
      <c r="Q4" s="56" t="s">
        <v>2066</v>
      </c>
      <c r="R4" s="139" t="s">
        <v>712</v>
      </c>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BA4" s="141">
        <f>IF(I4="","",IF(I4=0,0,1))</f>
        <v>1</v>
      </c>
    </row>
    <row r="5" spans="1:53" s="140" customFormat="1" ht="12" customHeight="1" x14ac:dyDescent="0.15">
      <c r="A5" s="58" t="s">
        <v>1274</v>
      </c>
      <c r="B5" s="58" t="s">
        <v>112</v>
      </c>
      <c r="C5" s="58" t="s">
        <v>605</v>
      </c>
      <c r="D5" s="58" t="s">
        <v>576</v>
      </c>
      <c r="E5" s="58" t="s">
        <v>1375</v>
      </c>
      <c r="F5" s="57">
        <v>39509</v>
      </c>
      <c r="G5" s="138">
        <v>6000</v>
      </c>
      <c r="H5" s="139">
        <v>25</v>
      </c>
      <c r="I5" s="139">
        <v>5</v>
      </c>
      <c r="J5" s="139">
        <v>3</v>
      </c>
      <c r="K5" s="139">
        <v>3</v>
      </c>
      <c r="L5" s="138">
        <f>39046+12600+8400+5200+1300+2050+440-2000+9600+2200+220+160+190+150+160+3200+800+3360+160+160+140</f>
        <v>87536</v>
      </c>
      <c r="M5" s="138">
        <f>L5/H5</f>
        <v>3501.44</v>
      </c>
      <c r="N5" s="330">
        <f>I5/H5</f>
        <v>0.2</v>
      </c>
      <c r="O5" s="330">
        <f>SUM(I5:K5)/H5</f>
        <v>0.44</v>
      </c>
      <c r="P5" s="56" t="s">
        <v>5711</v>
      </c>
      <c r="Q5" s="56" t="s">
        <v>3411</v>
      </c>
      <c r="R5" s="139" t="s">
        <v>3382</v>
      </c>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BA5" s="141">
        <f>IF(I5="","",IF(I5=0,0,1))</f>
        <v>1</v>
      </c>
    </row>
    <row r="6" spans="1:53" ht="12" customHeight="1" x14ac:dyDescent="0.15">
      <c r="G6" s="96"/>
      <c r="H6" s="103"/>
      <c r="I6" s="103"/>
      <c r="J6" s="103"/>
      <c r="K6" s="103"/>
      <c r="L6" s="96"/>
      <c r="M6" s="96"/>
      <c r="N6" s="96"/>
      <c r="O6" s="96"/>
      <c r="P6" s="149"/>
      <c r="Q6" s="149"/>
      <c r="BA6" s="141" t="str">
        <f t="shared" ref="BA6:BA11" si="0">IF(I6="","",IF(I6=0,0,1))</f>
        <v/>
      </c>
    </row>
    <row r="7" spans="1:53" ht="12" customHeight="1" x14ac:dyDescent="0.15">
      <c r="A7" s="110" t="s">
        <v>417</v>
      </c>
      <c r="G7" s="96"/>
      <c r="H7" s="103"/>
      <c r="I7" s="103"/>
      <c r="J7" s="103"/>
      <c r="K7" s="103"/>
      <c r="L7" s="96"/>
      <c r="M7" s="96"/>
      <c r="N7" s="96"/>
      <c r="O7" s="96"/>
      <c r="P7" s="149"/>
      <c r="Q7" s="149"/>
      <c r="BA7" s="141" t="str">
        <f t="shared" si="0"/>
        <v/>
      </c>
    </row>
    <row r="8" spans="1:53" ht="12" customHeight="1" x14ac:dyDescent="0.15">
      <c r="P8" s="75"/>
      <c r="Q8" s="75"/>
      <c r="BA8" s="141" t="str">
        <f t="shared" si="0"/>
        <v/>
      </c>
    </row>
    <row r="9" spans="1:53" s="112" customFormat="1" ht="12" customHeight="1" x14ac:dyDescent="0.15">
      <c r="A9" s="110" t="s">
        <v>1699</v>
      </c>
      <c r="B9" s="110"/>
      <c r="C9" s="110"/>
      <c r="D9" s="110"/>
      <c r="E9" s="110"/>
      <c r="F9" s="71"/>
      <c r="G9" s="108"/>
      <c r="H9" s="134"/>
      <c r="I9" s="134"/>
      <c r="J9" s="134"/>
      <c r="K9" s="134"/>
      <c r="L9" s="108"/>
      <c r="M9" s="108"/>
      <c r="N9" s="108"/>
      <c r="O9" s="108"/>
      <c r="P9" s="134"/>
      <c r="Q9" s="134"/>
      <c r="R9" s="110"/>
      <c r="BA9" s="141" t="str">
        <f t="shared" si="0"/>
        <v/>
      </c>
    </row>
    <row r="10" spans="1:53" s="140" customFormat="1" ht="12" customHeight="1" x14ac:dyDescent="0.15">
      <c r="A10" s="58" t="s">
        <v>321</v>
      </c>
      <c r="B10" s="58" t="s">
        <v>124</v>
      </c>
      <c r="C10" s="58" t="s">
        <v>538</v>
      </c>
      <c r="D10" s="58" t="s">
        <v>898</v>
      </c>
      <c r="E10" s="58" t="s">
        <v>100</v>
      </c>
      <c r="F10" s="57">
        <v>39534</v>
      </c>
      <c r="G10" s="138"/>
      <c r="H10" s="139">
        <v>54</v>
      </c>
      <c r="I10" s="139">
        <v>7</v>
      </c>
      <c r="J10" s="139">
        <v>5</v>
      </c>
      <c r="K10" s="139">
        <v>7</v>
      </c>
      <c r="L10" s="138">
        <f>170780+18810+36000+8250+6000+6000+1000+500+0+2700+3000+4950+75000+4750+10000+9000+2400+3000+10000+1000+3000+10000+1000+125+2280+500+2100+940+30330+12500+10500+3000+0+2820+0+0+0+0+3289+5733+5733</f>
        <v>466990</v>
      </c>
      <c r="M10" s="138">
        <f>L10/H10</f>
        <v>8647.9629629629635</v>
      </c>
      <c r="N10" s="330">
        <f>I10/H10</f>
        <v>0.12962962962962962</v>
      </c>
      <c r="O10" s="330">
        <f>SUM(I10:K10)/H10</f>
        <v>0.35185185185185186</v>
      </c>
      <c r="P10" s="56" t="s">
        <v>4481</v>
      </c>
      <c r="Q10" s="56" t="s">
        <v>140</v>
      </c>
      <c r="R10" s="139" t="s">
        <v>22</v>
      </c>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BA10" s="141">
        <f>IF(I10="","",IF(I10=0,0,1))</f>
        <v>1</v>
      </c>
    </row>
    <row r="11" spans="1:53" ht="12" customHeight="1" x14ac:dyDescent="0.15">
      <c r="G11" s="166"/>
      <c r="H11" s="104"/>
      <c r="I11" s="104"/>
      <c r="J11" s="104"/>
      <c r="K11" s="104"/>
      <c r="L11" s="166"/>
      <c r="M11" s="166"/>
      <c r="N11" s="166"/>
      <c r="O11" s="166"/>
      <c r="P11" s="149"/>
      <c r="Q11" s="149"/>
      <c r="BA11" s="141" t="str">
        <f t="shared" si="0"/>
        <v/>
      </c>
    </row>
    <row r="12" spans="1:53" s="112" customFormat="1" ht="12" customHeight="1" x14ac:dyDescent="0.15">
      <c r="A12" s="110" t="s">
        <v>1698</v>
      </c>
      <c r="B12" s="110"/>
      <c r="C12" s="110"/>
      <c r="D12" s="110"/>
      <c r="E12" s="110"/>
      <c r="F12" s="71"/>
      <c r="G12" s="108"/>
      <c r="H12" s="134"/>
      <c r="I12" s="134"/>
      <c r="J12" s="134"/>
      <c r="K12" s="134"/>
      <c r="L12" s="168"/>
      <c r="M12" s="168"/>
      <c r="N12" s="168"/>
      <c r="O12" s="168"/>
      <c r="P12" s="159"/>
      <c r="Q12" s="159"/>
      <c r="R12" s="110"/>
      <c r="BA12" s="111" t="str">
        <f>IF(I12="","",IF(I12&gt;0,1,0))</f>
        <v/>
      </c>
    </row>
    <row r="13" spans="1:53" s="140" customFormat="1" ht="12" customHeight="1" x14ac:dyDescent="0.15">
      <c r="A13" s="58" t="s">
        <v>1538</v>
      </c>
      <c r="B13" s="58" t="s">
        <v>1934</v>
      </c>
      <c r="C13" s="58" t="s">
        <v>642</v>
      </c>
      <c r="D13" s="58" t="s">
        <v>638</v>
      </c>
      <c r="E13" s="58" t="s">
        <v>1517</v>
      </c>
      <c r="F13" s="57">
        <v>39516</v>
      </c>
      <c r="G13" s="138"/>
      <c r="H13" s="139">
        <v>61</v>
      </c>
      <c r="I13" s="139">
        <v>5</v>
      </c>
      <c r="J13" s="139">
        <v>10</v>
      </c>
      <c r="K13" s="139">
        <v>6</v>
      </c>
      <c r="L13" s="138">
        <v>135383</v>
      </c>
      <c r="M13" s="138">
        <f>L13/H13</f>
        <v>2219.3934426229507</v>
      </c>
      <c r="N13" s="330">
        <f>I13/H13</f>
        <v>8.1967213114754092E-2</v>
      </c>
      <c r="O13" s="330">
        <f>SUM(I13:K13)/H13</f>
        <v>0.34426229508196721</v>
      </c>
      <c r="P13" s="56" t="s">
        <v>4222</v>
      </c>
      <c r="Q13" s="56" t="s">
        <v>1645</v>
      </c>
      <c r="R13" s="139" t="s">
        <v>4196</v>
      </c>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BA13" s="141">
        <f>IF(I13="","",IF(I13=0,0,1))</f>
        <v>1</v>
      </c>
    </row>
    <row r="14" spans="1:53" ht="12" customHeight="1" x14ac:dyDescent="0.15">
      <c r="G14" s="166"/>
      <c r="H14" s="104"/>
      <c r="I14" s="104"/>
      <c r="J14" s="104"/>
      <c r="K14" s="104"/>
      <c r="L14" s="166"/>
      <c r="M14" s="166"/>
      <c r="N14" s="166"/>
      <c r="O14" s="166"/>
      <c r="P14" s="149"/>
      <c r="Q14" s="149"/>
      <c r="BA14" s="141" t="str">
        <f t="shared" ref="BA14:BA22" si="1">IF(I14="","",IF(I14=0,0,1))</f>
        <v/>
      </c>
    </row>
    <row r="15" spans="1:53" s="112" customFormat="1" ht="12" customHeight="1" x14ac:dyDescent="0.15">
      <c r="A15" s="110" t="s">
        <v>1696</v>
      </c>
      <c r="B15" s="110"/>
      <c r="C15" s="110"/>
      <c r="D15" s="110"/>
      <c r="E15" s="110"/>
      <c r="F15" s="71"/>
      <c r="G15" s="169"/>
      <c r="H15" s="170"/>
      <c r="I15" s="170"/>
      <c r="J15" s="170"/>
      <c r="K15" s="170"/>
      <c r="L15" s="169"/>
      <c r="M15" s="169"/>
      <c r="N15" s="169"/>
      <c r="O15" s="169"/>
      <c r="P15" s="171"/>
      <c r="Q15" s="171"/>
      <c r="R15" s="110"/>
      <c r="BA15" s="141" t="str">
        <f t="shared" si="1"/>
        <v/>
      </c>
    </row>
    <row r="16" spans="1:53" s="140" customFormat="1" ht="12" customHeight="1" x14ac:dyDescent="0.15">
      <c r="A16" s="58" t="s">
        <v>68</v>
      </c>
      <c r="B16" s="58" t="s">
        <v>713</v>
      </c>
      <c r="C16" s="58" t="s">
        <v>782</v>
      </c>
      <c r="D16" s="58" t="s">
        <v>628</v>
      </c>
      <c r="E16" s="58" t="s">
        <v>1385</v>
      </c>
      <c r="F16" s="57">
        <v>39562</v>
      </c>
      <c r="G16" s="138">
        <v>15000</v>
      </c>
      <c r="H16" s="139">
        <v>23</v>
      </c>
      <c r="I16" s="139">
        <v>2</v>
      </c>
      <c r="J16" s="139">
        <v>1</v>
      </c>
      <c r="K16" s="139">
        <v>0</v>
      </c>
      <c r="L16" s="138">
        <f>125+540+630+720+7500+0+250+250+420+1540+420+840+125+125+810+0+342+228+2200+2280+6840+372</f>
        <v>26557</v>
      </c>
      <c r="M16" s="138">
        <f>L16/H16</f>
        <v>1154.6521739130435</v>
      </c>
      <c r="N16" s="330">
        <f>I16/H16</f>
        <v>8.6956521739130432E-2</v>
      </c>
      <c r="O16" s="330">
        <f>SUM(I16:K16)/H16</f>
        <v>0.13043478260869565</v>
      </c>
      <c r="P16" s="56" t="s">
        <v>3088</v>
      </c>
      <c r="Q16" s="56" t="s">
        <v>1270</v>
      </c>
      <c r="R16" s="139" t="s">
        <v>84</v>
      </c>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BA16" s="141">
        <f>IF(I16="","",IF(I16=0,0,1))</f>
        <v>1</v>
      </c>
    </row>
    <row r="17" spans="1:53" s="140" customFormat="1" ht="12.75" customHeight="1" x14ac:dyDescent="0.15">
      <c r="A17" s="58" t="s">
        <v>189</v>
      </c>
      <c r="B17" s="58" t="s">
        <v>969</v>
      </c>
      <c r="C17" s="58" t="s">
        <v>962</v>
      </c>
      <c r="D17" s="58" t="s">
        <v>699</v>
      </c>
      <c r="E17" s="58" t="s">
        <v>1391</v>
      </c>
      <c r="F17" s="57">
        <v>39541</v>
      </c>
      <c r="G17" s="138">
        <v>130000</v>
      </c>
      <c r="H17" s="139">
        <v>28</v>
      </c>
      <c r="I17" s="139">
        <v>2</v>
      </c>
      <c r="J17" s="139">
        <v>5</v>
      </c>
      <c r="K17" s="139">
        <v>5</v>
      </c>
      <c r="L17" s="138">
        <f>95775+1720+860+820+860+57+860+546+91+366+1473+621+1473+2140+1353+489+331+205</f>
        <v>110040</v>
      </c>
      <c r="M17" s="138">
        <f>L17/H17</f>
        <v>3930</v>
      </c>
      <c r="N17" s="330">
        <f>I17/H17</f>
        <v>7.1428571428571425E-2</v>
      </c>
      <c r="O17" s="330">
        <f>SUM(I17:K17)/H17</f>
        <v>0.42857142857142855</v>
      </c>
      <c r="P17" s="56" t="s">
        <v>3233</v>
      </c>
      <c r="Q17" s="56" t="s">
        <v>2323</v>
      </c>
      <c r="R17" s="139" t="s">
        <v>1283</v>
      </c>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BA17" s="141">
        <f>IF(I17="","",IF(I17=0,0,1))</f>
        <v>1</v>
      </c>
    </row>
    <row r="18" spans="1:53" s="140" customFormat="1" ht="12" customHeight="1" x14ac:dyDescent="0.15">
      <c r="A18" s="58" t="s">
        <v>327</v>
      </c>
      <c r="B18" s="58" t="s">
        <v>713</v>
      </c>
      <c r="C18" s="58" t="s">
        <v>1003</v>
      </c>
      <c r="D18" s="58" t="s">
        <v>634</v>
      </c>
      <c r="E18" s="58" t="s">
        <v>119</v>
      </c>
      <c r="F18" s="57">
        <v>39518</v>
      </c>
      <c r="G18" s="138">
        <v>1500</v>
      </c>
      <c r="H18" s="139">
        <v>27</v>
      </c>
      <c r="I18" s="139">
        <v>1</v>
      </c>
      <c r="J18" s="139">
        <v>5</v>
      </c>
      <c r="K18" s="139">
        <v>3</v>
      </c>
      <c r="L18" s="138">
        <f>21265+50+900+465+530+450+580+490</f>
        <v>24730</v>
      </c>
      <c r="M18" s="138">
        <f>L18/H18</f>
        <v>915.92592592592598</v>
      </c>
      <c r="N18" s="330">
        <f>I18/H18</f>
        <v>3.7037037037037035E-2</v>
      </c>
      <c r="O18" s="330">
        <f>SUM(I18:K18)/H18</f>
        <v>0.33333333333333331</v>
      </c>
      <c r="P18" s="56" t="s">
        <v>3309</v>
      </c>
      <c r="Q18" s="56" t="s">
        <v>3292</v>
      </c>
      <c r="R18" s="139" t="s">
        <v>53</v>
      </c>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BA18" s="141">
        <f>IF(I18="","",IF(I18=0,0,1))</f>
        <v>1</v>
      </c>
    </row>
    <row r="19" spans="1:53" s="140" customFormat="1" ht="12" customHeight="1" x14ac:dyDescent="0.15">
      <c r="A19" s="58" t="s">
        <v>153</v>
      </c>
      <c r="B19" s="58" t="s">
        <v>1511</v>
      </c>
      <c r="C19" s="58" t="s">
        <v>496</v>
      </c>
      <c r="D19" s="58" t="s">
        <v>824</v>
      </c>
      <c r="E19" s="58" t="s">
        <v>789</v>
      </c>
      <c r="F19" s="57">
        <v>39518</v>
      </c>
      <c r="G19" s="138">
        <v>10000</v>
      </c>
      <c r="H19" s="139">
        <v>22</v>
      </c>
      <c r="I19" s="139">
        <v>2</v>
      </c>
      <c r="J19" s="139">
        <v>0</v>
      </c>
      <c r="K19" s="139">
        <v>3</v>
      </c>
      <c r="L19" s="138">
        <f>5500+601+537+491+48+182+616+309+0+0+0</f>
        <v>8284</v>
      </c>
      <c r="M19" s="138">
        <f>L19/H19</f>
        <v>376.54545454545456</v>
      </c>
      <c r="N19" s="330">
        <f>I19/H19</f>
        <v>9.0909090909090912E-2</v>
      </c>
      <c r="O19" s="330">
        <f>SUM(I19:K19)/H19</f>
        <v>0.22727272727272727</v>
      </c>
      <c r="P19" s="56" t="s">
        <v>3346</v>
      </c>
      <c r="Q19" s="56" t="s">
        <v>1267</v>
      </c>
      <c r="R19" s="139" t="s">
        <v>2363</v>
      </c>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BA19" s="141">
        <f>IF(I19="","",IF(I19=0,0,1))</f>
        <v>1</v>
      </c>
    </row>
    <row r="20" spans="1:53" s="140" customFormat="1" ht="12" customHeight="1" x14ac:dyDescent="0.15">
      <c r="A20" s="58" t="s">
        <v>967</v>
      </c>
      <c r="B20" s="58" t="s">
        <v>713</v>
      </c>
      <c r="C20" s="58" t="s">
        <v>1010</v>
      </c>
      <c r="D20" s="58" t="s">
        <v>849</v>
      </c>
      <c r="E20" s="58" t="s">
        <v>1326</v>
      </c>
      <c r="F20" s="57">
        <v>39480</v>
      </c>
      <c r="G20" s="138"/>
      <c r="H20" s="139">
        <v>24</v>
      </c>
      <c r="I20" s="139">
        <v>2</v>
      </c>
      <c r="J20" s="139">
        <v>4</v>
      </c>
      <c r="K20" s="139">
        <v>3</v>
      </c>
      <c r="L20" s="138">
        <f>19382+3880+3880+11640+222+4956+430+86+325+126+105</f>
        <v>45032</v>
      </c>
      <c r="M20" s="138">
        <f>L20/H20</f>
        <v>1876.3333333333333</v>
      </c>
      <c r="N20" s="330">
        <f>I20/H20</f>
        <v>8.3333333333333329E-2</v>
      </c>
      <c r="O20" s="330">
        <f>SUM(I20:K20)/H20</f>
        <v>0.375</v>
      </c>
      <c r="P20" s="56" t="s">
        <v>3351</v>
      </c>
      <c r="Q20" s="56" t="s">
        <v>162</v>
      </c>
      <c r="R20" s="139" t="s">
        <v>848</v>
      </c>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BA20" s="141">
        <f>IF(I20="","",IF(I20=0,0,1))</f>
        <v>1</v>
      </c>
    </row>
    <row r="21" spans="1:53" ht="12" customHeight="1" x14ac:dyDescent="0.15">
      <c r="G21" s="166"/>
      <c r="H21" s="104"/>
      <c r="I21" s="104"/>
      <c r="J21" s="104"/>
      <c r="K21" s="104"/>
      <c r="L21" s="166"/>
      <c r="M21" s="166"/>
      <c r="N21" s="166"/>
      <c r="O21" s="166"/>
      <c r="P21" s="149"/>
      <c r="Q21" s="149"/>
      <c r="BA21" s="141" t="str">
        <f t="shared" si="1"/>
        <v/>
      </c>
    </row>
    <row r="22" spans="1:53" s="112" customFormat="1" ht="12" customHeight="1" x14ac:dyDescent="0.15">
      <c r="A22" s="110" t="s">
        <v>1697</v>
      </c>
      <c r="B22" s="110"/>
      <c r="C22" s="110"/>
      <c r="D22" s="110"/>
      <c r="E22" s="110"/>
      <c r="F22" s="71"/>
      <c r="G22" s="169"/>
      <c r="H22" s="170"/>
      <c r="I22" s="170"/>
      <c r="J22" s="170"/>
      <c r="K22" s="170"/>
      <c r="L22" s="169"/>
      <c r="M22" s="169"/>
      <c r="N22" s="169"/>
      <c r="O22" s="169"/>
      <c r="P22" s="171"/>
      <c r="Q22" s="171"/>
      <c r="R22" s="110"/>
      <c r="BA22" s="141" t="str">
        <f t="shared" si="1"/>
        <v/>
      </c>
    </row>
    <row r="23" spans="1:53" s="140" customFormat="1" ht="12" customHeight="1" x14ac:dyDescent="0.15">
      <c r="A23" s="58" t="s">
        <v>305</v>
      </c>
      <c r="B23" s="58" t="s">
        <v>111</v>
      </c>
      <c r="C23" s="58" t="s">
        <v>468</v>
      </c>
      <c r="D23" s="58" t="s">
        <v>1016</v>
      </c>
      <c r="E23" s="58" t="s">
        <v>1325</v>
      </c>
      <c r="F23" s="57">
        <v>39544</v>
      </c>
      <c r="G23" s="138">
        <v>9000</v>
      </c>
      <c r="H23" s="139">
        <v>22</v>
      </c>
      <c r="I23" s="139">
        <v>3</v>
      </c>
      <c r="J23" s="139">
        <v>2</v>
      </c>
      <c r="K23" s="139">
        <v>2</v>
      </c>
      <c r="L23" s="138">
        <f>10121+750+80+80+491+4800+255+0+2000+1100+450+480+4500</f>
        <v>25107</v>
      </c>
      <c r="M23" s="138">
        <f>L23/H23</f>
        <v>1141.2272727272727</v>
      </c>
      <c r="N23" s="330">
        <f>I23/H23</f>
        <v>0.13636363636363635</v>
      </c>
      <c r="O23" s="330">
        <f>SUM(I23:K23)/H23</f>
        <v>0.31818181818181818</v>
      </c>
      <c r="P23" s="56" t="s">
        <v>2103</v>
      </c>
      <c r="Q23" s="56" t="s">
        <v>1827</v>
      </c>
      <c r="R23" s="139" t="s">
        <v>1214</v>
      </c>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BA23" s="141">
        <f>IF(I23="","",IF(I23=0,0,1))</f>
        <v>1</v>
      </c>
    </row>
    <row r="24" spans="1:53" s="140" customFormat="1" ht="12" customHeight="1" x14ac:dyDescent="0.15">
      <c r="A24" s="58" t="s">
        <v>320</v>
      </c>
      <c r="B24" s="58" t="s">
        <v>1513</v>
      </c>
      <c r="C24" s="58" t="s">
        <v>1097</v>
      </c>
      <c r="D24" s="58" t="s">
        <v>937</v>
      </c>
      <c r="E24" s="58" t="s">
        <v>1394</v>
      </c>
      <c r="F24" s="57">
        <v>39569</v>
      </c>
      <c r="G24" s="138">
        <v>4000</v>
      </c>
      <c r="H24" s="139">
        <v>25</v>
      </c>
      <c r="I24" s="139">
        <v>4</v>
      </c>
      <c r="J24" s="139">
        <v>3</v>
      </c>
      <c r="K24" s="139">
        <v>2</v>
      </c>
      <c r="L24" s="138">
        <f>1174+309+548+3084+3084+3610+1635+376+4682+4675+3278+1360+4667+0+1869+680+1357+2340+0+282+0+0</f>
        <v>39010</v>
      </c>
      <c r="M24" s="138">
        <f>L24/H24</f>
        <v>1560.4</v>
      </c>
      <c r="N24" s="330">
        <f>I24/H24</f>
        <v>0.16</v>
      </c>
      <c r="O24" s="330">
        <f>SUM(I24:K24)/H24</f>
        <v>0.36</v>
      </c>
      <c r="P24" s="56" t="s">
        <v>2348</v>
      </c>
      <c r="Q24" s="56" t="s">
        <v>34</v>
      </c>
      <c r="R24" s="139" t="s">
        <v>45</v>
      </c>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BA24" s="141">
        <f>IF(I24="","",IF(I24=0,0,1))</f>
        <v>1</v>
      </c>
    </row>
    <row r="25" spans="1:53" ht="12" customHeight="1" x14ac:dyDescent="0.15">
      <c r="G25" s="166"/>
      <c r="H25" s="104"/>
      <c r="I25" s="104"/>
      <c r="J25" s="104"/>
      <c r="K25" s="104"/>
      <c r="L25" s="166"/>
      <c r="M25" s="166"/>
      <c r="N25" s="166"/>
      <c r="O25" s="166"/>
      <c r="P25" s="149"/>
      <c r="Q25" s="149"/>
      <c r="BA25" s="141" t="str">
        <f t="shared" ref="BA25:BA41" si="2">IF(I25="","",IF(I25=0,0,1))</f>
        <v/>
      </c>
    </row>
    <row r="26" spans="1:53" s="112" customFormat="1" ht="12" customHeight="1" x14ac:dyDescent="0.15">
      <c r="A26" s="110" t="s">
        <v>1850</v>
      </c>
      <c r="B26" s="6"/>
      <c r="C26" s="110"/>
      <c r="D26" s="110"/>
      <c r="E26" s="110"/>
      <c r="F26" s="71"/>
      <c r="G26" s="169"/>
      <c r="H26" s="170"/>
      <c r="I26" s="170"/>
      <c r="J26" s="170"/>
      <c r="K26" s="170"/>
      <c r="L26" s="169"/>
      <c r="M26" s="169"/>
      <c r="N26" s="169"/>
      <c r="O26" s="169"/>
      <c r="P26" s="171"/>
      <c r="Q26" s="171"/>
      <c r="R26" s="110"/>
      <c r="BA26" s="141" t="str">
        <f t="shared" si="2"/>
        <v/>
      </c>
    </row>
    <row r="27" spans="1:53" s="140" customFormat="1" ht="12" customHeight="1" x14ac:dyDescent="0.15">
      <c r="A27" s="58" t="s">
        <v>1201</v>
      </c>
      <c r="B27" s="58" t="s">
        <v>1935</v>
      </c>
      <c r="C27" s="58" t="s">
        <v>995</v>
      </c>
      <c r="D27" s="58" t="s">
        <v>610</v>
      </c>
      <c r="E27" s="58" t="s">
        <v>1347</v>
      </c>
      <c r="F27" s="57">
        <v>39562</v>
      </c>
      <c r="G27" s="138"/>
      <c r="H27" s="139">
        <v>2</v>
      </c>
      <c r="I27" s="139">
        <v>1</v>
      </c>
      <c r="J27" s="139">
        <v>0</v>
      </c>
      <c r="K27" s="139">
        <v>1</v>
      </c>
      <c r="L27" s="138">
        <v>1139</v>
      </c>
      <c r="M27" s="138">
        <f>L27/H27</f>
        <v>569.5</v>
      </c>
      <c r="N27" s="330">
        <f>I27/H27</f>
        <v>0.5</v>
      </c>
      <c r="O27" s="330">
        <f>SUM(I27:K27)/H27</f>
        <v>1</v>
      </c>
      <c r="P27" s="56" t="s">
        <v>1604</v>
      </c>
      <c r="Q27" s="56" t="s">
        <v>1306</v>
      </c>
      <c r="R27" s="139" t="s">
        <v>2356</v>
      </c>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BA27" s="141">
        <f t="shared" si="2"/>
        <v>1</v>
      </c>
    </row>
    <row r="28" spans="1:53" s="140" customFormat="1" ht="12" customHeight="1" x14ac:dyDescent="0.15">
      <c r="A28" s="58" t="s">
        <v>1232</v>
      </c>
      <c r="B28" s="58" t="s">
        <v>713</v>
      </c>
      <c r="C28" s="58" t="s">
        <v>934</v>
      </c>
      <c r="D28" s="58" t="s">
        <v>610</v>
      </c>
      <c r="E28" s="58" t="s">
        <v>149</v>
      </c>
      <c r="F28" s="57">
        <v>39552</v>
      </c>
      <c r="G28" s="138">
        <v>7000</v>
      </c>
      <c r="H28" s="139">
        <v>11</v>
      </c>
      <c r="I28" s="139">
        <v>1</v>
      </c>
      <c r="J28" s="139">
        <v>0</v>
      </c>
      <c r="K28" s="139">
        <v>0</v>
      </c>
      <c r="L28" s="138">
        <f>1693+257+257+268+75+3498+85</f>
        <v>6133</v>
      </c>
      <c r="M28" s="138">
        <f>L28/H28</f>
        <v>557.5454545454545</v>
      </c>
      <c r="N28" s="330">
        <f>I28/H28</f>
        <v>9.0909090909090912E-2</v>
      </c>
      <c r="O28" s="330">
        <f>SUM(I28:K28)/H28</f>
        <v>9.0909090909090912E-2</v>
      </c>
      <c r="P28" s="56" t="s">
        <v>1689</v>
      </c>
      <c r="Q28" s="56"/>
      <c r="R28" s="139" t="s">
        <v>3226</v>
      </c>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BA28" s="141">
        <f>IF(I28="","",IF(I28=0,0,1))</f>
        <v>1</v>
      </c>
    </row>
    <row r="29" spans="1:53" s="140" customFormat="1" ht="12" customHeight="1" x14ac:dyDescent="0.15">
      <c r="A29" s="58" t="s">
        <v>1291</v>
      </c>
      <c r="B29" s="58" t="s">
        <v>1936</v>
      </c>
      <c r="C29" s="58" t="s">
        <v>677</v>
      </c>
      <c r="D29" s="58" t="s">
        <v>678</v>
      </c>
      <c r="E29" s="58" t="s">
        <v>1380</v>
      </c>
      <c r="F29" s="57">
        <v>39495</v>
      </c>
      <c r="G29" s="138">
        <v>4500</v>
      </c>
      <c r="H29" s="139">
        <v>18</v>
      </c>
      <c r="I29" s="139">
        <v>3</v>
      </c>
      <c r="J29" s="139">
        <v>4</v>
      </c>
      <c r="K29" s="139">
        <v>1</v>
      </c>
      <c r="L29" s="138">
        <f>5231+354+354+356+146</f>
        <v>6441</v>
      </c>
      <c r="M29" s="138">
        <f>L29/H29</f>
        <v>357.83333333333331</v>
      </c>
      <c r="N29" s="330">
        <f>I29/H29</f>
        <v>0.16666666666666666</v>
      </c>
      <c r="O29" s="330">
        <f>SUM(I29:K29)/H29</f>
        <v>0.44444444444444442</v>
      </c>
      <c r="P29" s="56" t="s">
        <v>1689</v>
      </c>
      <c r="Q29" s="56" t="s">
        <v>330</v>
      </c>
      <c r="R29" s="139" t="s">
        <v>3358</v>
      </c>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BA29" s="141">
        <f>IF(I29="","",IF(I29=0,0,1))</f>
        <v>1</v>
      </c>
    </row>
    <row r="30" spans="1:53" s="140" customFormat="1" ht="12" customHeight="1" x14ac:dyDescent="0.15">
      <c r="A30" s="58" t="s">
        <v>1300</v>
      </c>
      <c r="B30" s="58" t="s">
        <v>93</v>
      </c>
      <c r="C30" s="58" t="s">
        <v>721</v>
      </c>
      <c r="D30" s="58" t="s">
        <v>722</v>
      </c>
      <c r="E30" s="58" t="s">
        <v>1350</v>
      </c>
      <c r="F30" s="57">
        <v>39514</v>
      </c>
      <c r="G30" s="138">
        <v>60000</v>
      </c>
      <c r="H30" s="139">
        <v>11</v>
      </c>
      <c r="I30" s="139">
        <v>2</v>
      </c>
      <c r="J30" s="139">
        <v>1</v>
      </c>
      <c r="K30" s="139">
        <v>0</v>
      </c>
      <c r="L30" s="138">
        <f>924+3188+4219+264</f>
        <v>8595</v>
      </c>
      <c r="M30" s="138">
        <f t="shared" ref="M30:M78" si="3">L30/H30</f>
        <v>781.36363636363637</v>
      </c>
      <c r="N30" s="330">
        <f t="shared" ref="N30:N78" si="4">I30/H30</f>
        <v>0.18181818181818182</v>
      </c>
      <c r="O30" s="330">
        <f t="shared" ref="O30:O78" si="5">SUM(I30:K30)/H30</f>
        <v>0.27272727272727271</v>
      </c>
      <c r="P30" s="56" t="s">
        <v>1604</v>
      </c>
      <c r="Q30" s="56"/>
      <c r="R30" s="139" t="s">
        <v>11</v>
      </c>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BA30" s="141">
        <f t="shared" si="2"/>
        <v>1</v>
      </c>
    </row>
    <row r="31" spans="1:53" s="140" customFormat="1" ht="12" customHeight="1" x14ac:dyDescent="0.15">
      <c r="A31" s="58" t="s">
        <v>1243</v>
      </c>
      <c r="B31" s="58" t="s">
        <v>114</v>
      </c>
      <c r="C31" s="58" t="s">
        <v>871</v>
      </c>
      <c r="D31" s="58" t="s">
        <v>462</v>
      </c>
      <c r="E31" s="58" t="s">
        <v>1396</v>
      </c>
      <c r="F31" s="57">
        <v>39557</v>
      </c>
      <c r="G31" s="138">
        <v>2500</v>
      </c>
      <c r="H31" s="139">
        <v>5</v>
      </c>
      <c r="I31" s="139">
        <v>1</v>
      </c>
      <c r="J31" s="139">
        <v>1</v>
      </c>
      <c r="K31" s="139">
        <v>0</v>
      </c>
      <c r="L31" s="138">
        <v>8717</v>
      </c>
      <c r="M31" s="138">
        <f t="shared" si="3"/>
        <v>1743.4</v>
      </c>
      <c r="N31" s="330">
        <f t="shared" si="4"/>
        <v>0.2</v>
      </c>
      <c r="O31" s="330">
        <f t="shared" si="5"/>
        <v>0.4</v>
      </c>
      <c r="P31" s="56" t="s">
        <v>1593</v>
      </c>
      <c r="Q31" s="56"/>
      <c r="R31" s="139" t="s">
        <v>14</v>
      </c>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BA31" s="141">
        <f t="shared" si="2"/>
        <v>1</v>
      </c>
    </row>
    <row r="32" spans="1:53" s="140" customFormat="1" ht="12" customHeight="1" x14ac:dyDescent="0.15">
      <c r="A32" s="58" t="s">
        <v>60</v>
      </c>
      <c r="B32" s="58" t="s">
        <v>61</v>
      </c>
      <c r="C32" s="58" t="s">
        <v>1057</v>
      </c>
      <c r="D32" s="58" t="s">
        <v>820</v>
      </c>
      <c r="E32" s="58" t="s">
        <v>1428</v>
      </c>
      <c r="F32" s="57">
        <v>39549</v>
      </c>
      <c r="G32" s="138">
        <v>35000</v>
      </c>
      <c r="H32" s="139">
        <v>4</v>
      </c>
      <c r="I32" s="139">
        <v>1</v>
      </c>
      <c r="J32" s="139">
        <v>0</v>
      </c>
      <c r="K32" s="139">
        <v>0</v>
      </c>
      <c r="L32" s="138">
        <f>9890+350</f>
        <v>10240</v>
      </c>
      <c r="M32" s="138">
        <f t="shared" si="3"/>
        <v>2560</v>
      </c>
      <c r="N32" s="330">
        <f t="shared" si="4"/>
        <v>0.25</v>
      </c>
      <c r="O32" s="330">
        <f t="shared" si="5"/>
        <v>0.25</v>
      </c>
      <c r="P32" s="56" t="s">
        <v>1689</v>
      </c>
      <c r="Q32" s="56"/>
      <c r="R32" s="139" t="s">
        <v>1691</v>
      </c>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BA32" s="141">
        <f t="shared" si="2"/>
        <v>1</v>
      </c>
    </row>
    <row r="33" spans="1:53" s="140" customFormat="1" ht="12" customHeight="1" x14ac:dyDescent="0.15">
      <c r="A33" s="58" t="s">
        <v>332</v>
      </c>
      <c r="B33" s="58" t="s">
        <v>1927</v>
      </c>
      <c r="C33" s="58" t="s">
        <v>580</v>
      </c>
      <c r="D33" s="58" t="s">
        <v>820</v>
      </c>
      <c r="E33" s="58" t="s">
        <v>1356</v>
      </c>
      <c r="F33" s="57">
        <v>39522</v>
      </c>
      <c r="G33" s="138"/>
      <c r="H33" s="139">
        <v>10</v>
      </c>
      <c r="I33" s="139">
        <v>2</v>
      </c>
      <c r="J33" s="139">
        <v>2</v>
      </c>
      <c r="K33" s="139">
        <v>0</v>
      </c>
      <c r="L33" s="138">
        <f>12081+215</f>
        <v>12296</v>
      </c>
      <c r="M33" s="138">
        <f>L33/H33</f>
        <v>1229.5999999999999</v>
      </c>
      <c r="N33" s="330">
        <f>I33/H33</f>
        <v>0.2</v>
      </c>
      <c r="O33" s="330">
        <f>SUM(I33:K33)/H33</f>
        <v>0.4</v>
      </c>
      <c r="P33" s="56" t="s">
        <v>1604</v>
      </c>
      <c r="Q33" s="56"/>
      <c r="R33" s="139" t="s">
        <v>2431</v>
      </c>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BA33" s="141">
        <f t="shared" si="2"/>
        <v>1</v>
      </c>
    </row>
    <row r="34" spans="1:53" s="140" customFormat="1" ht="12" customHeight="1" x14ac:dyDescent="0.15">
      <c r="A34" s="58" t="s">
        <v>329</v>
      </c>
      <c r="B34" s="58" t="s">
        <v>1511</v>
      </c>
      <c r="C34" s="58" t="s">
        <v>723</v>
      </c>
      <c r="D34" s="58" t="s">
        <v>769</v>
      </c>
      <c r="E34" s="58" t="s">
        <v>96</v>
      </c>
      <c r="F34" s="57">
        <v>39522</v>
      </c>
      <c r="G34" s="138">
        <v>80000</v>
      </c>
      <c r="H34" s="139">
        <v>10</v>
      </c>
      <c r="I34" s="139">
        <v>1</v>
      </c>
      <c r="J34" s="139">
        <v>0</v>
      </c>
      <c r="K34" s="139">
        <v>0</v>
      </c>
      <c r="L34" s="138">
        <v>12624</v>
      </c>
      <c r="M34" s="138">
        <f t="shared" si="3"/>
        <v>1262.4000000000001</v>
      </c>
      <c r="N34" s="330">
        <f t="shared" si="4"/>
        <v>0.1</v>
      </c>
      <c r="O34" s="330">
        <f t="shared" si="5"/>
        <v>0.1</v>
      </c>
      <c r="P34" s="56" t="s">
        <v>1689</v>
      </c>
      <c r="Q34" s="56"/>
      <c r="R34" s="139" t="s">
        <v>1705</v>
      </c>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BA34" s="141">
        <f t="shared" si="2"/>
        <v>1</v>
      </c>
    </row>
    <row r="35" spans="1:53" s="140" customFormat="1" ht="12" customHeight="1" x14ac:dyDescent="0.15">
      <c r="A35" s="58" t="s">
        <v>1293</v>
      </c>
      <c r="B35" s="58" t="s">
        <v>713</v>
      </c>
      <c r="C35" s="58" t="s">
        <v>811</v>
      </c>
      <c r="D35" s="58" t="s">
        <v>1108</v>
      </c>
      <c r="E35" s="58" t="s">
        <v>1401</v>
      </c>
      <c r="F35" s="57">
        <v>39562</v>
      </c>
      <c r="G35" s="138">
        <v>15000</v>
      </c>
      <c r="H35" s="139">
        <v>6</v>
      </c>
      <c r="I35" s="139">
        <v>1</v>
      </c>
      <c r="J35" s="139">
        <v>2</v>
      </c>
      <c r="K35" s="139">
        <v>0</v>
      </c>
      <c r="L35" s="138">
        <f>6757+1546+1126+2000+2500</f>
        <v>13929</v>
      </c>
      <c r="M35" s="138">
        <f>L35/H35</f>
        <v>2321.5</v>
      </c>
      <c r="N35" s="330">
        <f>I35/H35</f>
        <v>0.16666666666666666</v>
      </c>
      <c r="O35" s="330">
        <f>SUM(I35:K35)/H35</f>
        <v>0.5</v>
      </c>
      <c r="P35" s="56" t="s">
        <v>1689</v>
      </c>
      <c r="Q35" s="56"/>
      <c r="R35" s="139" t="s">
        <v>3590</v>
      </c>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BA35" s="141">
        <f>IF(I35="","",IF(I35=0,0,1))</f>
        <v>1</v>
      </c>
    </row>
    <row r="36" spans="1:53" s="140" customFormat="1" ht="12" customHeight="1" x14ac:dyDescent="0.15">
      <c r="A36" s="58" t="s">
        <v>159</v>
      </c>
      <c r="B36" s="58" t="s">
        <v>111</v>
      </c>
      <c r="C36" s="58" t="s">
        <v>933</v>
      </c>
      <c r="D36" s="58" t="s">
        <v>988</v>
      </c>
      <c r="E36" s="58" t="s">
        <v>1334</v>
      </c>
      <c r="F36" s="57">
        <v>39519</v>
      </c>
      <c r="G36" s="138">
        <v>4000</v>
      </c>
      <c r="H36" s="139">
        <v>16</v>
      </c>
      <c r="I36" s="139">
        <v>2</v>
      </c>
      <c r="J36" s="139">
        <v>0</v>
      </c>
      <c r="K36" s="139">
        <v>1</v>
      </c>
      <c r="L36" s="138">
        <f>270+550+6600+540+5160+80+946+80+80+0+0+333</f>
        <v>14639</v>
      </c>
      <c r="M36" s="138">
        <f>L36/H36</f>
        <v>914.9375</v>
      </c>
      <c r="N36" s="330">
        <f>I36/H36</f>
        <v>0.125</v>
      </c>
      <c r="O36" s="330">
        <f>SUM(I36:K36)/H36</f>
        <v>0.1875</v>
      </c>
      <c r="P36" s="56" t="s">
        <v>2282</v>
      </c>
      <c r="Q36" s="56"/>
      <c r="R36" s="139" t="s">
        <v>3660</v>
      </c>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BA36" s="141">
        <f>IF(I36="","",IF(I36=0,0,1))</f>
        <v>1</v>
      </c>
    </row>
    <row r="37" spans="1:53" s="140" customFormat="1" ht="12" customHeight="1" x14ac:dyDescent="0.15">
      <c r="A37" s="58" t="s">
        <v>1346</v>
      </c>
      <c r="B37" s="58" t="s">
        <v>111</v>
      </c>
      <c r="C37" s="58" t="s">
        <v>1058</v>
      </c>
      <c r="D37" s="58" t="s">
        <v>1059</v>
      </c>
      <c r="E37" s="58" t="s">
        <v>1430</v>
      </c>
      <c r="F37" s="57">
        <v>39550</v>
      </c>
      <c r="G37" s="138">
        <v>85000</v>
      </c>
      <c r="H37" s="139">
        <v>17</v>
      </c>
      <c r="I37" s="139">
        <v>2</v>
      </c>
      <c r="J37" s="139">
        <v>1</v>
      </c>
      <c r="K37" s="139">
        <v>1</v>
      </c>
      <c r="L37" s="138">
        <f>1140+148+4366+152+64+92+76+800+2000+101+5220+72+600+200+325+75+65</f>
        <v>15496</v>
      </c>
      <c r="M37" s="138">
        <f>L37/H37</f>
        <v>911.52941176470586</v>
      </c>
      <c r="N37" s="330">
        <f>I37/H37</f>
        <v>0.11764705882352941</v>
      </c>
      <c r="O37" s="330">
        <f>SUM(I37:K37)/H37</f>
        <v>0.23529411764705882</v>
      </c>
      <c r="P37" s="56" t="s">
        <v>2282</v>
      </c>
      <c r="Q37" s="56"/>
      <c r="R37" s="139" t="s">
        <v>2379</v>
      </c>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BA37" s="141">
        <f t="shared" si="2"/>
        <v>1</v>
      </c>
    </row>
    <row r="38" spans="1:53" s="140" customFormat="1" ht="12" customHeight="1" x14ac:dyDescent="0.15">
      <c r="A38" s="58" t="s">
        <v>79</v>
      </c>
      <c r="B38" s="58" t="s">
        <v>1922</v>
      </c>
      <c r="C38" s="58" t="s">
        <v>620</v>
      </c>
      <c r="D38" s="58" t="s">
        <v>731</v>
      </c>
      <c r="E38" s="58"/>
      <c r="F38" s="57">
        <v>39542</v>
      </c>
      <c r="G38" s="138"/>
      <c r="H38" s="139">
        <v>10</v>
      </c>
      <c r="I38" s="139">
        <v>1</v>
      </c>
      <c r="J38" s="139">
        <v>0</v>
      </c>
      <c r="K38" s="139">
        <v>1</v>
      </c>
      <c r="L38" s="138">
        <f>5320+2704+4800+3467+2399</f>
        <v>18690</v>
      </c>
      <c r="M38" s="138">
        <f>L38/H38</f>
        <v>1869</v>
      </c>
      <c r="N38" s="330">
        <f>I38/H38</f>
        <v>0.1</v>
      </c>
      <c r="O38" s="330">
        <f>SUM(I38:K38)/H38</f>
        <v>0.2</v>
      </c>
      <c r="P38" s="56" t="s">
        <v>1689</v>
      </c>
      <c r="Q38" s="56" t="s">
        <v>80</v>
      </c>
      <c r="R38" s="139" t="s">
        <v>3161</v>
      </c>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BA38" s="141">
        <f>IF(I38="","",IF(I38=0,0,1))</f>
        <v>1</v>
      </c>
    </row>
    <row r="39" spans="1:53" s="140" customFormat="1" ht="12" customHeight="1" x14ac:dyDescent="0.15">
      <c r="A39" s="58" t="s">
        <v>409</v>
      </c>
      <c r="B39" s="58" t="s">
        <v>713</v>
      </c>
      <c r="C39" s="58" t="s">
        <v>627</v>
      </c>
      <c r="D39" s="58" t="s">
        <v>731</v>
      </c>
      <c r="E39" s="58" t="s">
        <v>118</v>
      </c>
      <c r="F39" s="57">
        <v>39491</v>
      </c>
      <c r="G39" s="138">
        <v>3500</v>
      </c>
      <c r="H39" s="139">
        <v>22</v>
      </c>
      <c r="I39" s="139">
        <v>2</v>
      </c>
      <c r="J39" s="139">
        <v>2</v>
      </c>
      <c r="K39" s="139">
        <v>2</v>
      </c>
      <c r="L39" s="138">
        <f>16498+3209+228+236</f>
        <v>20171</v>
      </c>
      <c r="M39" s="138">
        <f>L39/H39</f>
        <v>916.86363636363637</v>
      </c>
      <c r="N39" s="330">
        <f>I39/H39</f>
        <v>9.0909090909090912E-2</v>
      </c>
      <c r="O39" s="330">
        <f>SUM(I39:K39)/H39</f>
        <v>0.27272727272727271</v>
      </c>
      <c r="P39" s="56" t="s">
        <v>1604</v>
      </c>
      <c r="Q39" s="56" t="s">
        <v>1622</v>
      </c>
      <c r="R39" s="139" t="s">
        <v>2466</v>
      </c>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BA39" s="141">
        <f t="shared" si="2"/>
        <v>1</v>
      </c>
    </row>
    <row r="40" spans="1:53" s="140" customFormat="1" ht="12" customHeight="1" x14ac:dyDescent="0.15">
      <c r="A40" s="58" t="s">
        <v>152</v>
      </c>
      <c r="B40" s="58" t="s">
        <v>1929</v>
      </c>
      <c r="C40" s="58" t="s">
        <v>750</v>
      </c>
      <c r="D40" s="58" t="s">
        <v>751</v>
      </c>
      <c r="E40" s="58" t="s">
        <v>131</v>
      </c>
      <c r="F40" s="57">
        <v>39573</v>
      </c>
      <c r="G40" s="138"/>
      <c r="H40" s="139">
        <v>11</v>
      </c>
      <c r="I40" s="139">
        <v>1</v>
      </c>
      <c r="J40" s="139">
        <v>2</v>
      </c>
      <c r="K40" s="139">
        <v>2</v>
      </c>
      <c r="L40" s="138">
        <f>1980+1320+840+0+2640+2640+8400+1980+1584</f>
        <v>21384</v>
      </c>
      <c r="M40" s="138">
        <f t="shared" si="3"/>
        <v>1944</v>
      </c>
      <c r="N40" s="330">
        <f t="shared" si="4"/>
        <v>9.0909090909090912E-2</v>
      </c>
      <c r="O40" s="330">
        <f t="shared" si="5"/>
        <v>0.45454545454545453</v>
      </c>
      <c r="P40" s="56" t="s">
        <v>1604</v>
      </c>
      <c r="Q40" s="56"/>
      <c r="R40" s="139" t="s">
        <v>2038</v>
      </c>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BA40" s="141">
        <f t="shared" si="2"/>
        <v>1</v>
      </c>
    </row>
    <row r="41" spans="1:53" s="140" customFormat="1" ht="12" customHeight="1" x14ac:dyDescent="0.15">
      <c r="A41" s="58" t="s">
        <v>221</v>
      </c>
      <c r="B41" s="58" t="s">
        <v>1511</v>
      </c>
      <c r="C41" s="58" t="s">
        <v>928</v>
      </c>
      <c r="D41" s="58" t="s">
        <v>895</v>
      </c>
      <c r="E41" s="58" t="s">
        <v>1396</v>
      </c>
      <c r="F41" s="57">
        <v>39503</v>
      </c>
      <c r="G41" s="138">
        <v>22000</v>
      </c>
      <c r="H41" s="139">
        <v>11</v>
      </c>
      <c r="I41" s="139">
        <v>1</v>
      </c>
      <c r="J41" s="139">
        <v>1</v>
      </c>
      <c r="K41" s="139">
        <v>0</v>
      </c>
      <c r="L41" s="138">
        <f>15789+3000+180+123+136+2900+145+50</f>
        <v>22323</v>
      </c>
      <c r="M41" s="138">
        <f>L41/H41</f>
        <v>2029.3636363636363</v>
      </c>
      <c r="N41" s="330">
        <f>I41/H41</f>
        <v>9.0909090909090912E-2</v>
      </c>
      <c r="O41" s="330">
        <f>SUM(I41:K41)/H41</f>
        <v>0.18181818181818182</v>
      </c>
      <c r="P41" s="56" t="s">
        <v>1689</v>
      </c>
      <c r="Q41" s="56"/>
      <c r="R41" s="139" t="s">
        <v>2423</v>
      </c>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BA41" s="141">
        <f t="shared" si="2"/>
        <v>1</v>
      </c>
    </row>
    <row r="42" spans="1:53" s="140" customFormat="1" ht="12" customHeight="1" x14ac:dyDescent="0.15">
      <c r="A42" s="58" t="s">
        <v>315</v>
      </c>
      <c r="B42" s="58" t="s">
        <v>111</v>
      </c>
      <c r="C42" s="58" t="s">
        <v>572</v>
      </c>
      <c r="D42" s="58" t="s">
        <v>725</v>
      </c>
      <c r="E42" s="58" t="s">
        <v>1378</v>
      </c>
      <c r="F42" s="57">
        <v>39556</v>
      </c>
      <c r="G42" s="138">
        <v>45000</v>
      </c>
      <c r="H42" s="139">
        <v>5</v>
      </c>
      <c r="I42" s="139">
        <v>1</v>
      </c>
      <c r="J42" s="139">
        <v>1</v>
      </c>
      <c r="K42" s="139">
        <v>0</v>
      </c>
      <c r="L42" s="138">
        <v>23920</v>
      </c>
      <c r="M42" s="138">
        <f>L42/H42</f>
        <v>4784</v>
      </c>
      <c r="N42" s="330">
        <f>I42/H42</f>
        <v>0.2</v>
      </c>
      <c r="O42" s="330">
        <f>SUM(I42:K42)/H42</f>
        <v>0.4</v>
      </c>
      <c r="P42" s="56" t="s">
        <v>1976</v>
      </c>
      <c r="Q42" s="56"/>
      <c r="R42" s="139" t="s">
        <v>3505</v>
      </c>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BA42" s="141">
        <f>IF(I42="","",IF(I42=0,0,1))</f>
        <v>1</v>
      </c>
    </row>
    <row r="43" spans="1:53" s="140" customFormat="1" ht="12" customHeight="1" x14ac:dyDescent="0.15">
      <c r="A43" s="58" t="s">
        <v>62</v>
      </c>
      <c r="B43" s="58" t="s">
        <v>1938</v>
      </c>
      <c r="C43" s="58" t="s">
        <v>1109</v>
      </c>
      <c r="D43" s="58" t="s">
        <v>1021</v>
      </c>
      <c r="E43" s="58" t="s">
        <v>1431</v>
      </c>
      <c r="F43" s="57">
        <v>39555</v>
      </c>
      <c r="G43" s="138">
        <v>18000</v>
      </c>
      <c r="H43" s="139">
        <v>5</v>
      </c>
      <c r="I43" s="139">
        <v>1</v>
      </c>
      <c r="J43" s="139">
        <v>1</v>
      </c>
      <c r="K43" s="139">
        <v>0</v>
      </c>
      <c r="L43" s="138">
        <f>37150+1000+1000</f>
        <v>39150</v>
      </c>
      <c r="M43" s="138">
        <f t="shared" si="3"/>
        <v>7830</v>
      </c>
      <c r="N43" s="330">
        <f t="shared" si="4"/>
        <v>0.2</v>
      </c>
      <c r="O43" s="330">
        <f t="shared" si="5"/>
        <v>0.4</v>
      </c>
      <c r="P43" s="56" t="s">
        <v>1593</v>
      </c>
      <c r="Q43" s="56"/>
      <c r="R43" s="139" t="s">
        <v>19</v>
      </c>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BA43" s="141">
        <f t="shared" ref="BA43:BA78" si="6">IF(I43="","",IF(I43=0,0,1))</f>
        <v>1</v>
      </c>
    </row>
    <row r="44" spans="1:53" s="140" customFormat="1" ht="12" customHeight="1" x14ac:dyDescent="0.15">
      <c r="A44" s="58" t="s">
        <v>1282</v>
      </c>
      <c r="B44" s="58" t="s">
        <v>111</v>
      </c>
      <c r="C44" s="58" t="s">
        <v>777</v>
      </c>
      <c r="D44" s="58" t="s">
        <v>904</v>
      </c>
      <c r="E44" s="58" t="s">
        <v>1355</v>
      </c>
      <c r="F44" s="57">
        <v>39528</v>
      </c>
      <c r="G44" s="138">
        <v>60000</v>
      </c>
      <c r="H44" s="139">
        <v>5</v>
      </c>
      <c r="I44" s="139">
        <v>3</v>
      </c>
      <c r="J44" s="139">
        <v>1</v>
      </c>
      <c r="K44" s="139">
        <v>0</v>
      </c>
      <c r="L44" s="138">
        <v>39620</v>
      </c>
      <c r="M44" s="138">
        <f t="shared" si="3"/>
        <v>7924</v>
      </c>
      <c r="N44" s="330">
        <f t="shared" si="4"/>
        <v>0.6</v>
      </c>
      <c r="O44" s="330">
        <f t="shared" si="5"/>
        <v>0.8</v>
      </c>
      <c r="P44" s="56" t="s">
        <v>1604</v>
      </c>
      <c r="Q44" s="56" t="s">
        <v>155</v>
      </c>
      <c r="R44" s="139" t="s">
        <v>3372</v>
      </c>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BA44" s="141">
        <f t="shared" si="6"/>
        <v>1</v>
      </c>
    </row>
    <row r="45" spans="1:53" s="140" customFormat="1" ht="12" customHeight="1" x14ac:dyDescent="0.15">
      <c r="A45" s="58" t="s">
        <v>1216</v>
      </c>
      <c r="B45" s="58" t="s">
        <v>115</v>
      </c>
      <c r="C45" s="58" t="s">
        <v>593</v>
      </c>
      <c r="D45" s="58" t="s">
        <v>601</v>
      </c>
      <c r="E45" s="58" t="s">
        <v>1324</v>
      </c>
      <c r="F45" s="57">
        <v>39483</v>
      </c>
      <c r="G45" s="138"/>
      <c r="H45" s="139">
        <v>3</v>
      </c>
      <c r="I45" s="139">
        <v>1</v>
      </c>
      <c r="J45" s="139">
        <v>1</v>
      </c>
      <c r="K45" s="139">
        <v>0</v>
      </c>
      <c r="L45" s="138">
        <f>7700+30100+1500+2000</f>
        <v>41300</v>
      </c>
      <c r="M45" s="138">
        <f t="shared" si="3"/>
        <v>13766.666666666666</v>
      </c>
      <c r="N45" s="330">
        <f t="shared" si="4"/>
        <v>0.33333333333333331</v>
      </c>
      <c r="O45" s="330">
        <f t="shared" si="5"/>
        <v>0.66666666666666663</v>
      </c>
      <c r="P45" s="56" t="s">
        <v>1689</v>
      </c>
      <c r="Q45" s="56"/>
      <c r="R45" s="139" t="s">
        <v>2370</v>
      </c>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BA45" s="141">
        <f t="shared" si="6"/>
        <v>1</v>
      </c>
    </row>
    <row r="46" spans="1:53" s="140" customFormat="1" ht="12" customHeight="1" x14ac:dyDescent="0.15">
      <c r="A46" s="58" t="s">
        <v>252</v>
      </c>
      <c r="B46" s="58" t="s">
        <v>112</v>
      </c>
      <c r="C46" s="58" t="s">
        <v>1053</v>
      </c>
      <c r="D46" s="58" t="s">
        <v>1054</v>
      </c>
      <c r="E46" s="58" t="s">
        <v>1349</v>
      </c>
      <c r="F46" s="57">
        <v>39533</v>
      </c>
      <c r="G46" s="138">
        <v>4000</v>
      </c>
      <c r="H46" s="139">
        <v>54</v>
      </c>
      <c r="I46" s="139">
        <v>6</v>
      </c>
      <c r="J46" s="139">
        <v>4</v>
      </c>
      <c r="K46" s="139">
        <v>11</v>
      </c>
      <c r="L46" s="138">
        <f>38530+1093+282+413+724+254+1180+1822+260+250+640+1157+1335+733+395+396+245</f>
        <v>49709</v>
      </c>
      <c r="M46" s="138">
        <f>L46/H46</f>
        <v>920.53703703703707</v>
      </c>
      <c r="N46" s="330">
        <f>I46/H46</f>
        <v>0.1111111111111111</v>
      </c>
      <c r="O46" s="330">
        <f>SUM(I46:K46)/H46</f>
        <v>0.3888888888888889</v>
      </c>
      <c r="P46" s="56" t="s">
        <v>1976</v>
      </c>
      <c r="Q46" s="56"/>
      <c r="R46" s="139" t="s">
        <v>4261</v>
      </c>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BA46" s="141">
        <f>IF(I46="","",IF(I46=0,0,1))</f>
        <v>1</v>
      </c>
    </row>
    <row r="47" spans="1:53" s="140" customFormat="1" ht="12" customHeight="1" x14ac:dyDescent="0.15">
      <c r="A47" s="58" t="s">
        <v>316</v>
      </c>
      <c r="B47" s="58" t="s">
        <v>1921</v>
      </c>
      <c r="C47" s="58" t="s">
        <v>1050</v>
      </c>
      <c r="D47" s="58" t="s">
        <v>1051</v>
      </c>
      <c r="E47" s="58" t="s">
        <v>1335</v>
      </c>
      <c r="F47" s="57">
        <v>39497</v>
      </c>
      <c r="G47" s="138"/>
      <c r="H47" s="139">
        <v>11</v>
      </c>
      <c r="I47" s="139">
        <v>2</v>
      </c>
      <c r="J47" s="139">
        <v>4</v>
      </c>
      <c r="K47" s="139">
        <v>0</v>
      </c>
      <c r="L47" s="138">
        <f>13200+5200+500+1320+4400+4400+1440+1560+14400+4600+250</f>
        <v>51270</v>
      </c>
      <c r="M47" s="138">
        <f t="shared" si="3"/>
        <v>4660.909090909091</v>
      </c>
      <c r="N47" s="330">
        <f t="shared" si="4"/>
        <v>0.18181818181818182</v>
      </c>
      <c r="O47" s="330">
        <f t="shared" si="5"/>
        <v>0.54545454545454541</v>
      </c>
      <c r="P47" s="56" t="s">
        <v>1689</v>
      </c>
      <c r="Q47" s="56"/>
      <c r="R47" s="139" t="s">
        <v>3489</v>
      </c>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BA47" s="141">
        <f t="shared" si="6"/>
        <v>1</v>
      </c>
    </row>
    <row r="48" spans="1:53" s="140" customFormat="1" ht="12" customHeight="1" x14ac:dyDescent="0.15">
      <c r="A48" s="58" t="s">
        <v>158</v>
      </c>
      <c r="B48" s="58" t="s">
        <v>713</v>
      </c>
      <c r="C48" s="58" t="s">
        <v>569</v>
      </c>
      <c r="D48" s="58" t="s">
        <v>621</v>
      </c>
      <c r="E48" s="58" t="s">
        <v>1348</v>
      </c>
      <c r="F48" s="57">
        <v>39559</v>
      </c>
      <c r="G48" s="138">
        <v>33038</v>
      </c>
      <c r="H48" s="139">
        <v>22</v>
      </c>
      <c r="I48" s="139">
        <v>3</v>
      </c>
      <c r="J48" s="139">
        <v>1</v>
      </c>
      <c r="K48" s="139">
        <v>5</v>
      </c>
      <c r="L48" s="138">
        <f>4732+5162+594+1023+2336+1010+2704+1707+1600+6239+3466+2704+2400+16000+2080</f>
        <v>53757</v>
      </c>
      <c r="M48" s="138">
        <f>L48/H48</f>
        <v>2443.5</v>
      </c>
      <c r="N48" s="330">
        <f>I48/H48</f>
        <v>0.13636363636363635</v>
      </c>
      <c r="O48" s="330">
        <f>SUM(I48:K48)/H48</f>
        <v>0.40909090909090912</v>
      </c>
      <c r="P48" s="56" t="s">
        <v>1976</v>
      </c>
      <c r="Q48" s="56"/>
      <c r="R48" s="139" t="s">
        <v>4260</v>
      </c>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BA48" s="141">
        <f>IF(I48="","",IF(I48=0,0,1))</f>
        <v>1</v>
      </c>
    </row>
    <row r="49" spans="1:53" s="140" customFormat="1" ht="12" customHeight="1" x14ac:dyDescent="0.15">
      <c r="A49" s="58" t="s">
        <v>147</v>
      </c>
      <c r="B49" s="58" t="s">
        <v>713</v>
      </c>
      <c r="C49" s="58" t="s">
        <v>1077</v>
      </c>
      <c r="D49" s="58" t="s">
        <v>631</v>
      </c>
      <c r="E49" s="58" t="s">
        <v>1323</v>
      </c>
      <c r="F49" s="57">
        <v>39549</v>
      </c>
      <c r="G49" s="138">
        <v>17000</v>
      </c>
      <c r="H49" s="139">
        <v>11</v>
      </c>
      <c r="I49" s="139">
        <v>2</v>
      </c>
      <c r="J49" s="139">
        <v>3</v>
      </c>
      <c r="K49" s="139">
        <v>3</v>
      </c>
      <c r="L49" s="138">
        <f>55580+160</f>
        <v>55740</v>
      </c>
      <c r="M49" s="138">
        <f t="shared" si="3"/>
        <v>5067.272727272727</v>
      </c>
      <c r="N49" s="330">
        <f t="shared" si="4"/>
        <v>0.18181818181818182</v>
      </c>
      <c r="O49" s="330">
        <f t="shared" si="5"/>
        <v>0.72727272727272729</v>
      </c>
      <c r="P49" s="56" t="s">
        <v>1604</v>
      </c>
      <c r="Q49" s="56"/>
      <c r="R49" s="139" t="s">
        <v>1071</v>
      </c>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BA49" s="141">
        <f t="shared" si="6"/>
        <v>1</v>
      </c>
    </row>
    <row r="50" spans="1:53" s="140" customFormat="1" ht="12" customHeight="1" x14ac:dyDescent="0.15">
      <c r="A50" s="58" t="s">
        <v>133</v>
      </c>
      <c r="B50" s="58" t="s">
        <v>1600</v>
      </c>
      <c r="C50" s="58" t="s">
        <v>1017</v>
      </c>
      <c r="D50" s="58" t="s">
        <v>819</v>
      </c>
      <c r="E50" s="58" t="s">
        <v>1377</v>
      </c>
      <c r="F50" s="57">
        <v>39524</v>
      </c>
      <c r="G50" s="138">
        <v>25000</v>
      </c>
      <c r="H50" s="139">
        <v>21</v>
      </c>
      <c r="I50" s="139">
        <v>1</v>
      </c>
      <c r="J50" s="139">
        <v>5</v>
      </c>
      <c r="K50" s="139">
        <v>4</v>
      </c>
      <c r="L50" s="138">
        <f>55596+1320</f>
        <v>56916</v>
      </c>
      <c r="M50" s="138">
        <f>L50/H50</f>
        <v>2710.2857142857142</v>
      </c>
      <c r="N50" s="330">
        <f>I50/H50</f>
        <v>4.7619047619047616E-2</v>
      </c>
      <c r="O50" s="330">
        <f>SUM(I50:K50)/H50</f>
        <v>0.47619047619047616</v>
      </c>
      <c r="P50" s="56" t="s">
        <v>1885</v>
      </c>
      <c r="Q50" s="56" t="s">
        <v>1777</v>
      </c>
      <c r="R50" s="139" t="s">
        <v>3422</v>
      </c>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BA50" s="141">
        <f>IF(I50="","",IF(I50=0,0,1))</f>
        <v>1</v>
      </c>
    </row>
    <row r="51" spans="1:53" s="140" customFormat="1" ht="12" customHeight="1" x14ac:dyDescent="0.15">
      <c r="A51" s="58" t="s">
        <v>970</v>
      </c>
      <c r="B51" s="58" t="s">
        <v>111</v>
      </c>
      <c r="C51" s="58" t="s">
        <v>968</v>
      </c>
      <c r="D51" s="58" t="s">
        <v>824</v>
      </c>
      <c r="E51" s="58" t="s">
        <v>1326</v>
      </c>
      <c r="F51" s="57">
        <v>39557</v>
      </c>
      <c r="G51" s="138"/>
      <c r="H51" s="139">
        <v>16</v>
      </c>
      <c r="I51" s="139">
        <v>2</v>
      </c>
      <c r="J51" s="139">
        <v>2</v>
      </c>
      <c r="K51" s="139">
        <v>3</v>
      </c>
      <c r="L51" s="138">
        <f>59645+83+135+328+182</f>
        <v>60373</v>
      </c>
      <c r="M51" s="138">
        <f t="shared" si="3"/>
        <v>3773.3125</v>
      </c>
      <c r="N51" s="330">
        <f t="shared" si="4"/>
        <v>0.125</v>
      </c>
      <c r="O51" s="330">
        <f t="shared" si="5"/>
        <v>0.4375</v>
      </c>
      <c r="P51" s="56" t="s">
        <v>1976</v>
      </c>
      <c r="Q51" s="56"/>
      <c r="R51" s="139" t="s">
        <v>2403</v>
      </c>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BA51" s="141">
        <f t="shared" si="6"/>
        <v>1</v>
      </c>
    </row>
    <row r="52" spans="1:53" s="140" customFormat="1" ht="12" customHeight="1" x14ac:dyDescent="0.15">
      <c r="A52" s="58" t="s">
        <v>368</v>
      </c>
      <c r="B52" s="58" t="s">
        <v>1918</v>
      </c>
      <c r="C52" s="58" t="s">
        <v>1896</v>
      </c>
      <c r="D52" s="58" t="s">
        <v>843</v>
      </c>
      <c r="E52" s="58" t="s">
        <v>190</v>
      </c>
      <c r="F52" s="57">
        <v>39514</v>
      </c>
      <c r="G52" s="138">
        <v>15000</v>
      </c>
      <c r="H52" s="139">
        <v>18</v>
      </c>
      <c r="I52" s="139">
        <v>3</v>
      </c>
      <c r="J52" s="139">
        <v>2</v>
      </c>
      <c r="K52" s="139">
        <v>1</v>
      </c>
      <c r="L52" s="138">
        <f>47117+310+10575+55+386+1225+1414</f>
        <v>61082</v>
      </c>
      <c r="M52" s="138">
        <f t="shared" ref="M52:M57" si="7">L52/H52</f>
        <v>3393.4444444444443</v>
      </c>
      <c r="N52" s="330">
        <f t="shared" ref="N52:N57" si="8">I52/H52</f>
        <v>0.16666666666666666</v>
      </c>
      <c r="O52" s="330">
        <f t="shared" ref="O52:O57" si="9">SUM(I52:K52)/H52</f>
        <v>0.33333333333333331</v>
      </c>
      <c r="P52" s="56" t="s">
        <v>2282</v>
      </c>
      <c r="Q52" s="56"/>
      <c r="R52" s="139" t="s">
        <v>3385</v>
      </c>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BA52" s="141">
        <f>IF(I52="","",IF(I52=0,0,1))</f>
        <v>1</v>
      </c>
    </row>
    <row r="53" spans="1:53" s="140" customFormat="1" ht="12" customHeight="1" x14ac:dyDescent="0.15">
      <c r="A53" s="58" t="s">
        <v>154</v>
      </c>
      <c r="B53" s="58" t="s">
        <v>111</v>
      </c>
      <c r="C53" s="58" t="s">
        <v>996</v>
      </c>
      <c r="D53" s="58" t="s">
        <v>1085</v>
      </c>
      <c r="E53" s="58" t="s">
        <v>134</v>
      </c>
      <c r="F53" s="57">
        <v>39530</v>
      </c>
      <c r="G53" s="138">
        <v>65000</v>
      </c>
      <c r="H53" s="139">
        <v>15</v>
      </c>
      <c r="I53" s="139">
        <v>2</v>
      </c>
      <c r="J53" s="139">
        <v>0</v>
      </c>
      <c r="K53" s="139">
        <v>3</v>
      </c>
      <c r="L53" s="138">
        <f>67170+500+350+350+300+1425</f>
        <v>70095</v>
      </c>
      <c r="M53" s="138">
        <f t="shared" si="7"/>
        <v>4673</v>
      </c>
      <c r="N53" s="330">
        <f t="shared" si="8"/>
        <v>0.13333333333333333</v>
      </c>
      <c r="O53" s="330">
        <f t="shared" si="9"/>
        <v>0.33333333333333331</v>
      </c>
      <c r="P53" s="56" t="s">
        <v>1976</v>
      </c>
      <c r="Q53" s="56"/>
      <c r="R53" s="139" t="s">
        <v>4592</v>
      </c>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BA53" s="141">
        <f>IF(I53="","",IF(I53=0,0,1))</f>
        <v>1</v>
      </c>
    </row>
    <row r="54" spans="1:53" s="140" customFormat="1" ht="12" customHeight="1" x14ac:dyDescent="0.15">
      <c r="A54" s="58" t="s">
        <v>911</v>
      </c>
      <c r="B54" s="58" t="s">
        <v>1920</v>
      </c>
      <c r="C54" s="58" t="s">
        <v>629</v>
      </c>
      <c r="D54" s="58" t="s">
        <v>630</v>
      </c>
      <c r="E54" s="58" t="s">
        <v>1376</v>
      </c>
      <c r="F54" s="57">
        <v>39568</v>
      </c>
      <c r="G54" s="138">
        <v>4200</v>
      </c>
      <c r="H54" s="139">
        <v>19</v>
      </c>
      <c r="I54" s="139">
        <v>2</v>
      </c>
      <c r="J54" s="139">
        <v>1</v>
      </c>
      <c r="K54" s="139">
        <v>8</v>
      </c>
      <c r="L54" s="138">
        <f>16182+660+4488+23400+3800+2970+13680+3036+1870+450</f>
        <v>70536</v>
      </c>
      <c r="M54" s="138">
        <f t="shared" si="7"/>
        <v>3712.4210526315787</v>
      </c>
      <c r="N54" s="330">
        <f t="shared" si="8"/>
        <v>0.10526315789473684</v>
      </c>
      <c r="O54" s="330">
        <f t="shared" si="9"/>
        <v>0.57894736842105265</v>
      </c>
      <c r="P54" s="56" t="s">
        <v>2282</v>
      </c>
      <c r="Q54" s="56"/>
      <c r="R54" s="139" t="s">
        <v>2410</v>
      </c>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BA54" s="141">
        <f t="shared" si="6"/>
        <v>1</v>
      </c>
    </row>
    <row r="55" spans="1:53" s="140" customFormat="1" ht="12" customHeight="1" x14ac:dyDescent="0.15">
      <c r="A55" s="58" t="s">
        <v>1388</v>
      </c>
      <c r="B55" s="58" t="s">
        <v>95</v>
      </c>
      <c r="C55" s="58" t="s">
        <v>1046</v>
      </c>
      <c r="D55" s="58" t="s">
        <v>725</v>
      </c>
      <c r="E55" s="58" t="s">
        <v>1389</v>
      </c>
      <c r="F55" s="57">
        <v>39548</v>
      </c>
      <c r="G55" s="138">
        <v>20000</v>
      </c>
      <c r="H55" s="139">
        <v>38</v>
      </c>
      <c r="I55" s="139">
        <v>4</v>
      </c>
      <c r="J55" s="139">
        <v>7</v>
      </c>
      <c r="K55" s="139">
        <v>4</v>
      </c>
      <c r="L55" s="138">
        <f>16344+3140+141+1147+235+125+1400+3050+125+8550+2925+165+765+10427+172+180+3700+1032+259+3200+190+6000+1000+660+660+2300+155+155+55+3596+55+627</f>
        <v>72535</v>
      </c>
      <c r="M55" s="138">
        <f t="shared" si="7"/>
        <v>1908.8157894736842</v>
      </c>
      <c r="N55" s="330">
        <f t="shared" si="8"/>
        <v>0.10526315789473684</v>
      </c>
      <c r="O55" s="330">
        <f t="shared" si="9"/>
        <v>0.39473684210526316</v>
      </c>
      <c r="P55" s="56" t="s">
        <v>2282</v>
      </c>
      <c r="Q55" s="56" t="s">
        <v>2066</v>
      </c>
      <c r="R55" s="139" t="s">
        <v>3375</v>
      </c>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BA55" s="141">
        <f>IF(I55="","",IF(I55=0,0,1))</f>
        <v>1</v>
      </c>
    </row>
    <row r="56" spans="1:53" s="140" customFormat="1" ht="12" customHeight="1" x14ac:dyDescent="0.15">
      <c r="A56" s="58" t="s">
        <v>322</v>
      </c>
      <c r="B56" s="58" t="s">
        <v>111</v>
      </c>
      <c r="C56" s="58" t="s">
        <v>1023</v>
      </c>
      <c r="D56" s="58" t="s">
        <v>1001</v>
      </c>
      <c r="E56" s="58" t="s">
        <v>1429</v>
      </c>
      <c r="F56" s="57">
        <v>39499</v>
      </c>
      <c r="G56" s="138"/>
      <c r="H56" s="139">
        <v>14</v>
      </c>
      <c r="I56" s="139">
        <v>2</v>
      </c>
      <c r="J56" s="139">
        <v>3</v>
      </c>
      <c r="K56" s="139">
        <v>1</v>
      </c>
      <c r="L56" s="138">
        <v>72885</v>
      </c>
      <c r="M56" s="138">
        <f t="shared" si="7"/>
        <v>5206.0714285714284</v>
      </c>
      <c r="N56" s="330">
        <f t="shared" si="8"/>
        <v>0.14285714285714285</v>
      </c>
      <c r="O56" s="330">
        <f t="shared" si="9"/>
        <v>0.42857142857142855</v>
      </c>
      <c r="P56" s="56" t="s">
        <v>1689</v>
      </c>
      <c r="Q56" s="56"/>
      <c r="R56" s="139" t="s">
        <v>3390</v>
      </c>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BA56" s="141">
        <f t="shared" si="6"/>
        <v>1</v>
      </c>
    </row>
    <row r="57" spans="1:53" s="140" customFormat="1" ht="12" customHeight="1" x14ac:dyDescent="0.15">
      <c r="A57" s="58" t="s">
        <v>1318</v>
      </c>
      <c r="B57" s="58" t="s">
        <v>112</v>
      </c>
      <c r="C57" s="58" t="s">
        <v>640</v>
      </c>
      <c r="D57" s="58" t="s">
        <v>477</v>
      </c>
      <c r="E57" s="58" t="s">
        <v>97</v>
      </c>
      <c r="F57" s="57">
        <v>39939</v>
      </c>
      <c r="G57" s="138">
        <v>30000</v>
      </c>
      <c r="H57" s="139">
        <v>35</v>
      </c>
      <c r="I57" s="139">
        <v>2</v>
      </c>
      <c r="J57" s="139">
        <v>7</v>
      </c>
      <c r="K57" s="139">
        <v>7</v>
      </c>
      <c r="L57" s="138">
        <f>65658+1030+1030+132+103+2000+160+100+105+1100+2200+110+738+2460+738</f>
        <v>77664</v>
      </c>
      <c r="M57" s="138">
        <f t="shared" si="7"/>
        <v>2218.9714285714285</v>
      </c>
      <c r="N57" s="330">
        <f t="shared" si="8"/>
        <v>5.7142857142857141E-2</v>
      </c>
      <c r="O57" s="330">
        <f t="shared" si="9"/>
        <v>0.45714285714285713</v>
      </c>
      <c r="P57" s="56" t="s">
        <v>2282</v>
      </c>
      <c r="Q57" s="56" t="s">
        <v>2124</v>
      </c>
      <c r="R57" s="139" t="s">
        <v>4593</v>
      </c>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BA57" s="141">
        <f t="shared" si="6"/>
        <v>1</v>
      </c>
    </row>
    <row r="58" spans="1:53" s="140" customFormat="1" ht="12" customHeight="1" x14ac:dyDescent="0.15">
      <c r="A58" s="58" t="s">
        <v>331</v>
      </c>
      <c r="B58" s="58" t="s">
        <v>969</v>
      </c>
      <c r="C58" s="58" t="s">
        <v>1055</v>
      </c>
      <c r="D58" s="58" t="s">
        <v>1060</v>
      </c>
      <c r="E58" s="58" t="s">
        <v>98</v>
      </c>
      <c r="F58" s="57">
        <v>39511</v>
      </c>
      <c r="G58" s="138"/>
      <c r="H58" s="139">
        <v>19</v>
      </c>
      <c r="I58" s="139">
        <v>2</v>
      </c>
      <c r="J58" s="139">
        <v>3</v>
      </c>
      <c r="K58" s="139">
        <v>4</v>
      </c>
      <c r="L58" s="138">
        <f>59273+2820+500+16800+750+500</f>
        <v>80643</v>
      </c>
      <c r="M58" s="138">
        <f t="shared" si="3"/>
        <v>4244.3684210526317</v>
      </c>
      <c r="N58" s="330">
        <f t="shared" si="4"/>
        <v>0.10526315789473684</v>
      </c>
      <c r="O58" s="330">
        <f t="shared" si="5"/>
        <v>0.47368421052631576</v>
      </c>
      <c r="P58" s="56" t="s">
        <v>1689</v>
      </c>
      <c r="Q58" s="56"/>
      <c r="R58" s="139" t="s">
        <v>1909</v>
      </c>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BA58" s="141">
        <f t="shared" si="6"/>
        <v>1</v>
      </c>
    </row>
    <row r="59" spans="1:53" s="140" customFormat="1" ht="12" customHeight="1" x14ac:dyDescent="0.15">
      <c r="A59" s="58" t="s">
        <v>1246</v>
      </c>
      <c r="B59" s="58" t="s">
        <v>115</v>
      </c>
      <c r="C59" s="58" t="s">
        <v>980</v>
      </c>
      <c r="D59" s="58" t="s">
        <v>582</v>
      </c>
      <c r="E59" s="58" t="s">
        <v>646</v>
      </c>
      <c r="F59" s="57">
        <v>39497</v>
      </c>
      <c r="G59" s="138">
        <v>50000</v>
      </c>
      <c r="H59" s="139">
        <v>21</v>
      </c>
      <c r="I59" s="139">
        <v>1</v>
      </c>
      <c r="J59" s="139">
        <v>8</v>
      </c>
      <c r="K59" s="139">
        <v>0</v>
      </c>
      <c r="L59" s="138">
        <f>10800+7800+7800+7800+1950+7800+8200+8200+24600+2150+1000+87+92+200+1050+3200+1800+800+200+900+600</f>
        <v>97029</v>
      </c>
      <c r="M59" s="138">
        <f>L59/H59</f>
        <v>4620.4285714285716</v>
      </c>
      <c r="N59" s="330">
        <f>I59/H59</f>
        <v>4.7619047619047616E-2</v>
      </c>
      <c r="O59" s="330">
        <f>SUM(I59:K59)/H59</f>
        <v>0.42857142857142855</v>
      </c>
      <c r="P59" s="56" t="s">
        <v>1976</v>
      </c>
      <c r="Q59" s="56" t="s">
        <v>1778</v>
      </c>
      <c r="R59" s="139" t="s">
        <v>2472</v>
      </c>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BA59" s="141">
        <f t="shared" si="6"/>
        <v>1</v>
      </c>
    </row>
    <row r="60" spans="1:53" s="140" customFormat="1" ht="12" customHeight="1" x14ac:dyDescent="0.15">
      <c r="A60" s="58" t="s">
        <v>203</v>
      </c>
      <c r="B60" s="58" t="s">
        <v>111</v>
      </c>
      <c r="C60" s="58" t="s">
        <v>846</v>
      </c>
      <c r="D60" s="58" t="s">
        <v>927</v>
      </c>
      <c r="E60" s="58" t="s">
        <v>1396</v>
      </c>
      <c r="F60" s="57">
        <v>39496</v>
      </c>
      <c r="G60" s="138">
        <v>28000</v>
      </c>
      <c r="H60" s="139">
        <v>18</v>
      </c>
      <c r="I60" s="139">
        <v>5</v>
      </c>
      <c r="J60" s="139">
        <v>3</v>
      </c>
      <c r="K60" s="139">
        <v>3</v>
      </c>
      <c r="L60" s="138">
        <f>1800+16800+1860+260+1284+2196+10980+18000+19500+1728+5760+260+1980+4600+12000+4600+2040+1560</f>
        <v>107208</v>
      </c>
      <c r="M60" s="138">
        <f>L60/H60</f>
        <v>5956</v>
      </c>
      <c r="N60" s="330">
        <f>I60/H60</f>
        <v>0.27777777777777779</v>
      </c>
      <c r="O60" s="330">
        <f>SUM(I60:K60)/H60</f>
        <v>0.61111111111111116</v>
      </c>
      <c r="P60" s="56" t="s">
        <v>2282</v>
      </c>
      <c r="Q60" s="56"/>
      <c r="R60" s="139" t="s">
        <v>3269</v>
      </c>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BA60" s="141">
        <f>IF(I60="","",IF(I60=0,0,1))</f>
        <v>1</v>
      </c>
    </row>
    <row r="61" spans="1:53" s="140" customFormat="1" ht="12" customHeight="1" x14ac:dyDescent="0.15">
      <c r="A61" s="58" t="s">
        <v>1244</v>
      </c>
      <c r="B61" s="58" t="s">
        <v>95</v>
      </c>
      <c r="C61" s="58" t="s">
        <v>645</v>
      </c>
      <c r="D61" s="58" t="s">
        <v>951</v>
      </c>
      <c r="E61" s="58" t="s">
        <v>1432</v>
      </c>
      <c r="F61" s="57">
        <v>39494</v>
      </c>
      <c r="G61" s="138"/>
      <c r="H61" s="139">
        <v>17</v>
      </c>
      <c r="I61" s="139">
        <v>3</v>
      </c>
      <c r="J61" s="139">
        <v>2</v>
      </c>
      <c r="K61" s="139">
        <v>2</v>
      </c>
      <c r="L61" s="138">
        <f>114946+24765+7500+2006+1000+1500</f>
        <v>151717</v>
      </c>
      <c r="M61" s="138">
        <f t="shared" si="3"/>
        <v>8924.5294117647063</v>
      </c>
      <c r="N61" s="330">
        <f t="shared" si="4"/>
        <v>0.17647058823529413</v>
      </c>
      <c r="O61" s="330">
        <f t="shared" si="5"/>
        <v>0.41176470588235292</v>
      </c>
      <c r="P61" s="56" t="s">
        <v>1689</v>
      </c>
      <c r="Q61" s="56"/>
      <c r="R61" s="139" t="s">
        <v>2372</v>
      </c>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BA61" s="141">
        <f t="shared" si="6"/>
        <v>1</v>
      </c>
    </row>
    <row r="62" spans="1:53" s="140" customFormat="1" ht="12" customHeight="1" x14ac:dyDescent="0.15">
      <c r="A62" s="58" t="s">
        <v>1315</v>
      </c>
      <c r="B62" s="58" t="s">
        <v>1935</v>
      </c>
      <c r="C62" s="58" t="s">
        <v>987</v>
      </c>
      <c r="D62" s="58" t="s">
        <v>634</v>
      </c>
      <c r="E62" s="58" t="s">
        <v>248</v>
      </c>
      <c r="F62" s="57">
        <v>39517</v>
      </c>
      <c r="G62" s="138">
        <v>18000</v>
      </c>
      <c r="H62" s="139">
        <v>25</v>
      </c>
      <c r="I62" s="139">
        <v>4</v>
      </c>
      <c r="J62" s="139">
        <v>2</v>
      </c>
      <c r="K62" s="139">
        <v>3</v>
      </c>
      <c r="L62" s="138">
        <f>166502+5589</f>
        <v>172091</v>
      </c>
      <c r="M62" s="138">
        <f t="shared" si="3"/>
        <v>6883.64</v>
      </c>
      <c r="N62" s="330">
        <f t="shared" si="4"/>
        <v>0.16</v>
      </c>
      <c r="O62" s="330">
        <f t="shared" si="5"/>
        <v>0.36</v>
      </c>
      <c r="P62" s="56" t="s">
        <v>1976</v>
      </c>
      <c r="Q62" s="56" t="s">
        <v>1561</v>
      </c>
      <c r="R62" s="139" t="s">
        <v>1560</v>
      </c>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BA62" s="141">
        <f t="shared" si="6"/>
        <v>1</v>
      </c>
    </row>
    <row r="63" spans="1:53" s="140" customFormat="1" ht="12" customHeight="1" x14ac:dyDescent="0.15">
      <c r="A63" s="58" t="s">
        <v>188</v>
      </c>
      <c r="B63" s="58" t="s">
        <v>111</v>
      </c>
      <c r="C63" s="58" t="s">
        <v>823</v>
      </c>
      <c r="D63" s="58" t="s">
        <v>676</v>
      </c>
      <c r="E63" s="58" t="s">
        <v>233</v>
      </c>
      <c r="F63" s="57">
        <v>39487</v>
      </c>
      <c r="G63" s="138">
        <v>180000</v>
      </c>
      <c r="H63" s="139">
        <v>12</v>
      </c>
      <c r="I63" s="139">
        <v>4</v>
      </c>
      <c r="J63" s="139">
        <v>2</v>
      </c>
      <c r="K63" s="139">
        <v>1</v>
      </c>
      <c r="L63" s="138">
        <f>65600+10800+25608+26808+7500+60000+15754+6827+6693+6699</f>
        <v>232289</v>
      </c>
      <c r="M63" s="138">
        <f t="shared" si="3"/>
        <v>19357.416666666668</v>
      </c>
      <c r="N63" s="330">
        <f t="shared" si="4"/>
        <v>0.33333333333333331</v>
      </c>
      <c r="O63" s="330">
        <f t="shared" si="5"/>
        <v>0.58333333333333337</v>
      </c>
      <c r="P63" s="56" t="s">
        <v>1976</v>
      </c>
      <c r="Q63" s="56"/>
      <c r="R63" s="139" t="s">
        <v>3276</v>
      </c>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BA63" s="141">
        <f t="shared" si="6"/>
        <v>1</v>
      </c>
    </row>
    <row r="64" spans="1:53" s="140" customFormat="1" ht="12" customHeight="1" x14ac:dyDescent="0.15">
      <c r="A64" s="58" t="s">
        <v>1259</v>
      </c>
      <c r="B64" s="58" t="s">
        <v>713</v>
      </c>
      <c r="C64" s="58" t="s">
        <v>949</v>
      </c>
      <c r="D64" s="58" t="s">
        <v>459</v>
      </c>
      <c r="E64" s="58" t="s">
        <v>1335</v>
      </c>
      <c r="F64" s="57">
        <v>39512</v>
      </c>
      <c r="G64" s="138">
        <v>90000</v>
      </c>
      <c r="H64" s="139">
        <v>14</v>
      </c>
      <c r="I64" s="139">
        <v>4</v>
      </c>
      <c r="J64" s="139">
        <v>3</v>
      </c>
      <c r="K64" s="139">
        <v>1</v>
      </c>
      <c r="L64" s="138">
        <f>134550+0+4371+20000+150000+250+0</f>
        <v>309171</v>
      </c>
      <c r="M64" s="138">
        <f>L64/H64</f>
        <v>22083.642857142859</v>
      </c>
      <c r="N64" s="330">
        <f>I64/H64</f>
        <v>0.2857142857142857</v>
      </c>
      <c r="O64" s="330">
        <f>SUM(I64:K64)/H64</f>
        <v>0.5714285714285714</v>
      </c>
      <c r="P64" s="56" t="s">
        <v>3172</v>
      </c>
      <c r="Q64" s="56"/>
      <c r="R64" s="139" t="s">
        <v>3450</v>
      </c>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BA64" s="141">
        <f>IF(I64="","",IF(I64=0,0,1))</f>
        <v>1</v>
      </c>
    </row>
    <row r="65" spans="1:53" s="140" customFormat="1" ht="12" customHeight="1" x14ac:dyDescent="0.15">
      <c r="A65" s="58" t="s">
        <v>4</v>
      </c>
      <c r="B65" s="58" t="s">
        <v>713</v>
      </c>
      <c r="C65" s="58" t="s">
        <v>956</v>
      </c>
      <c r="D65" s="58" t="s">
        <v>459</v>
      </c>
      <c r="E65" s="58" t="s">
        <v>1329</v>
      </c>
      <c r="F65" s="57">
        <v>39521</v>
      </c>
      <c r="G65" s="138">
        <v>47856</v>
      </c>
      <c r="H65" s="139">
        <v>37</v>
      </c>
      <c r="I65" s="139">
        <v>2</v>
      </c>
      <c r="J65" s="139">
        <v>5</v>
      </c>
      <c r="K65" s="139">
        <v>5</v>
      </c>
      <c r="L65" s="138">
        <f>26236+7346+6960+0+0+0+20576+20568+28366+7738+14836+0+30066+8204+0+15719+15719+30053+8204+0+9019+11870+58835+0+0+0+0</f>
        <v>320315</v>
      </c>
      <c r="M65" s="138">
        <f>L65/H65</f>
        <v>8657.1621621621616</v>
      </c>
      <c r="N65" s="330">
        <f>I65/H65</f>
        <v>5.4054054054054057E-2</v>
      </c>
      <c r="O65" s="330">
        <f>SUM(I65:K65)/H65</f>
        <v>0.32432432432432434</v>
      </c>
      <c r="P65" s="56" t="s">
        <v>4128</v>
      </c>
      <c r="Q65" s="56" t="s">
        <v>3</v>
      </c>
      <c r="R65" s="139" t="s">
        <v>4311</v>
      </c>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BA65" s="141">
        <f>IF(I65="","",IF(I65=0,0,1))</f>
        <v>1</v>
      </c>
    </row>
    <row r="66" spans="1:53" s="140" customFormat="1" ht="12" customHeight="1" x14ac:dyDescent="0.15">
      <c r="A66" s="58" t="s">
        <v>319</v>
      </c>
      <c r="B66" s="58" t="s">
        <v>713</v>
      </c>
      <c r="C66" s="58" t="s">
        <v>832</v>
      </c>
      <c r="D66" s="58" t="s">
        <v>920</v>
      </c>
      <c r="E66" s="58" t="s">
        <v>99</v>
      </c>
      <c r="F66" s="57">
        <v>39523</v>
      </c>
      <c r="G66" s="138">
        <v>65000</v>
      </c>
      <c r="H66" s="139">
        <v>12</v>
      </c>
      <c r="I66" s="139">
        <v>4</v>
      </c>
      <c r="J66" s="139">
        <v>0</v>
      </c>
      <c r="K66" s="139">
        <v>2</v>
      </c>
      <c r="L66" s="138">
        <f>358185+1500+36360+21204+183+500+1000</f>
        <v>418932</v>
      </c>
      <c r="M66" s="138">
        <f>L66/H66</f>
        <v>34911</v>
      </c>
      <c r="N66" s="330">
        <f>I66/H66</f>
        <v>0.33333333333333331</v>
      </c>
      <c r="O66" s="330">
        <f>SUM(I66:K66)/H66</f>
        <v>0.5</v>
      </c>
      <c r="P66" s="56" t="s">
        <v>2282</v>
      </c>
      <c r="Q66" s="56"/>
      <c r="R66" s="139" t="s">
        <v>1959</v>
      </c>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BA66" s="141">
        <f t="shared" si="6"/>
        <v>1</v>
      </c>
    </row>
    <row r="67" spans="1:53" s="140" customFormat="1" ht="12" customHeight="1" x14ac:dyDescent="0.15">
      <c r="A67" s="58" t="s">
        <v>204</v>
      </c>
      <c r="B67" s="58" t="s">
        <v>1921</v>
      </c>
      <c r="C67" s="58" t="s">
        <v>598</v>
      </c>
      <c r="D67" s="58" t="s">
        <v>1140</v>
      </c>
      <c r="E67" s="58" t="s">
        <v>1327</v>
      </c>
      <c r="F67" s="57">
        <v>39491</v>
      </c>
      <c r="G67" s="138"/>
      <c r="H67" s="139">
        <v>21</v>
      </c>
      <c r="I67" s="139">
        <v>6</v>
      </c>
      <c r="J67" s="139">
        <v>7</v>
      </c>
      <c r="K67" s="139">
        <v>3</v>
      </c>
      <c r="L67" s="138">
        <f>84694+92285+56308+91063+193168+83267+0+72522+72806+65416+63353+37377+150956+44514+17196+177986+86813+208227+34559</f>
        <v>1632510</v>
      </c>
      <c r="M67" s="138">
        <f t="shared" si="3"/>
        <v>77738.571428571435</v>
      </c>
      <c r="N67" s="330">
        <f>I67/H67</f>
        <v>0.2857142857142857</v>
      </c>
      <c r="O67" s="330">
        <f>SUM(I67:K67)/H67</f>
        <v>0.76190476190476186</v>
      </c>
      <c r="P67" s="56" t="s">
        <v>2282</v>
      </c>
      <c r="Q67" s="56" t="s">
        <v>1321</v>
      </c>
      <c r="R67" s="139" t="s">
        <v>3326</v>
      </c>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BA67" s="141">
        <f t="shared" si="6"/>
        <v>1</v>
      </c>
    </row>
    <row r="68" spans="1:53" s="140" customFormat="1" ht="12" customHeight="1" x14ac:dyDescent="0.15">
      <c r="A68" s="58" t="s">
        <v>1606</v>
      </c>
      <c r="B68" s="58" t="s">
        <v>1919</v>
      </c>
      <c r="C68" s="58" t="s">
        <v>687</v>
      </c>
      <c r="D68" s="58" t="s">
        <v>1042</v>
      </c>
      <c r="E68" s="58" t="s">
        <v>1342</v>
      </c>
      <c r="F68" s="57">
        <v>39639</v>
      </c>
      <c r="G68" s="138">
        <v>138390</v>
      </c>
      <c r="H68" s="139">
        <v>14</v>
      </c>
      <c r="I68" s="139">
        <v>8</v>
      </c>
      <c r="J68" s="139">
        <v>2</v>
      </c>
      <c r="K68" s="139">
        <v>1</v>
      </c>
      <c r="L68" s="138">
        <f>1633120</f>
        <v>1633120</v>
      </c>
      <c r="M68" s="138">
        <f t="shared" si="3"/>
        <v>116651.42857142857</v>
      </c>
      <c r="N68" s="330">
        <f t="shared" si="4"/>
        <v>0.5714285714285714</v>
      </c>
      <c r="O68" s="330">
        <f t="shared" si="5"/>
        <v>0.7857142857142857</v>
      </c>
      <c r="P68" s="56" t="s">
        <v>1976</v>
      </c>
      <c r="Q68" s="56"/>
      <c r="R68" s="139" t="s">
        <v>2294</v>
      </c>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BA68" s="141">
        <f t="shared" si="6"/>
        <v>1</v>
      </c>
    </row>
    <row r="69" spans="1:53" s="90" customFormat="1" ht="12" customHeight="1" x14ac:dyDescent="0.15">
      <c r="A69" s="142" t="s">
        <v>1706</v>
      </c>
      <c r="B69" s="142" t="s">
        <v>1922</v>
      </c>
      <c r="C69" s="142" t="s">
        <v>533</v>
      </c>
      <c r="D69" s="142" t="s">
        <v>958</v>
      </c>
      <c r="E69" s="142"/>
      <c r="F69" s="178">
        <v>39490</v>
      </c>
      <c r="G69" s="144">
        <v>17500</v>
      </c>
      <c r="H69" s="145">
        <v>1</v>
      </c>
      <c r="I69" s="145">
        <v>0</v>
      </c>
      <c r="J69" s="145">
        <v>0</v>
      </c>
      <c r="K69" s="145">
        <v>0</v>
      </c>
      <c r="L69" s="144">
        <v>0</v>
      </c>
      <c r="M69" s="144">
        <f>L69/H69</f>
        <v>0</v>
      </c>
      <c r="N69" s="331">
        <f>I69/H69</f>
        <v>0</v>
      </c>
      <c r="O69" s="331">
        <f>SUM(I69:K69)/H69</f>
        <v>0</v>
      </c>
      <c r="P69" s="147" t="s">
        <v>1689</v>
      </c>
      <c r="Q69" s="147" t="s">
        <v>1707</v>
      </c>
      <c r="R69" s="142" t="s">
        <v>3162</v>
      </c>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BA69" s="141">
        <f>IF(I69="","",IF(I69=0,0,1))</f>
        <v>0</v>
      </c>
    </row>
    <row r="70" spans="1:53" s="90" customFormat="1" ht="12" customHeight="1" x14ac:dyDescent="0.15">
      <c r="A70" s="142" t="s">
        <v>1450</v>
      </c>
      <c r="B70" s="142" t="s">
        <v>1925</v>
      </c>
      <c r="C70" s="142" t="s">
        <v>1044</v>
      </c>
      <c r="D70" s="142" t="s">
        <v>1298</v>
      </c>
      <c r="E70" s="142" t="s">
        <v>1330</v>
      </c>
      <c r="F70" s="178">
        <v>39573</v>
      </c>
      <c r="G70" s="144"/>
      <c r="H70" s="145">
        <v>1</v>
      </c>
      <c r="I70" s="145">
        <v>0</v>
      </c>
      <c r="J70" s="145">
        <v>0</v>
      </c>
      <c r="K70" s="145">
        <v>0</v>
      </c>
      <c r="L70" s="144">
        <v>0</v>
      </c>
      <c r="M70" s="144">
        <f t="shared" si="3"/>
        <v>0</v>
      </c>
      <c r="N70" s="331">
        <f t="shared" si="4"/>
        <v>0</v>
      </c>
      <c r="O70" s="331">
        <f t="shared" si="5"/>
        <v>0</v>
      </c>
      <c r="P70" s="147" t="s">
        <v>1604</v>
      </c>
      <c r="Q70" s="147" t="s">
        <v>2084</v>
      </c>
      <c r="R70" s="142" t="s">
        <v>490</v>
      </c>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BA70" s="141">
        <f t="shared" si="6"/>
        <v>0</v>
      </c>
    </row>
    <row r="71" spans="1:53" s="90" customFormat="1" ht="12" customHeight="1" x14ac:dyDescent="0.15">
      <c r="A71" s="142" t="s">
        <v>317</v>
      </c>
      <c r="B71" s="142" t="s">
        <v>111</v>
      </c>
      <c r="C71" s="142" t="s">
        <v>1013</v>
      </c>
      <c r="D71" s="142" t="s">
        <v>1061</v>
      </c>
      <c r="E71" s="142" t="s">
        <v>1396</v>
      </c>
      <c r="F71" s="178">
        <v>39540</v>
      </c>
      <c r="G71" s="144"/>
      <c r="H71" s="145">
        <v>1</v>
      </c>
      <c r="I71" s="145">
        <v>0</v>
      </c>
      <c r="J71" s="145">
        <v>0</v>
      </c>
      <c r="K71" s="145">
        <v>0</v>
      </c>
      <c r="L71" s="144">
        <v>270</v>
      </c>
      <c r="M71" s="144">
        <f t="shared" si="3"/>
        <v>270</v>
      </c>
      <c r="N71" s="331">
        <f t="shared" si="4"/>
        <v>0</v>
      </c>
      <c r="O71" s="331">
        <f t="shared" si="5"/>
        <v>0</v>
      </c>
      <c r="P71" s="147" t="s">
        <v>1689</v>
      </c>
      <c r="Q71" s="147"/>
      <c r="R71" s="142" t="s">
        <v>1884</v>
      </c>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BA71" s="141">
        <f t="shared" si="6"/>
        <v>0</v>
      </c>
    </row>
    <row r="72" spans="1:53" s="90" customFormat="1" ht="12" customHeight="1" x14ac:dyDescent="0.15">
      <c r="A72" s="142" t="s">
        <v>1487</v>
      </c>
      <c r="B72" s="142" t="s">
        <v>1926</v>
      </c>
      <c r="C72" s="142" t="s">
        <v>900</v>
      </c>
      <c r="D72" s="142" t="s">
        <v>829</v>
      </c>
      <c r="E72" s="142" t="s">
        <v>1332</v>
      </c>
      <c r="F72" s="178">
        <v>39466</v>
      </c>
      <c r="G72" s="144">
        <v>33491</v>
      </c>
      <c r="H72" s="145">
        <v>8</v>
      </c>
      <c r="I72" s="145">
        <v>0</v>
      </c>
      <c r="J72" s="145">
        <v>0</v>
      </c>
      <c r="K72" s="145">
        <v>2</v>
      </c>
      <c r="L72" s="144">
        <v>390</v>
      </c>
      <c r="M72" s="144">
        <f t="shared" si="3"/>
        <v>48.75</v>
      </c>
      <c r="N72" s="331">
        <f t="shared" si="4"/>
        <v>0</v>
      </c>
      <c r="O72" s="331">
        <f t="shared" si="5"/>
        <v>0.25</v>
      </c>
      <c r="P72" s="147" t="s">
        <v>1604</v>
      </c>
      <c r="Q72" s="147"/>
      <c r="R72" s="142" t="s">
        <v>2235</v>
      </c>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BA72" s="141">
        <f t="shared" si="6"/>
        <v>0</v>
      </c>
    </row>
    <row r="73" spans="1:53" s="90" customFormat="1" ht="12" customHeight="1" x14ac:dyDescent="0.15">
      <c r="A73" s="142" t="s">
        <v>336</v>
      </c>
      <c r="B73" s="142" t="s">
        <v>111</v>
      </c>
      <c r="C73" s="142" t="s">
        <v>474</v>
      </c>
      <c r="D73" s="142" t="s">
        <v>475</v>
      </c>
      <c r="E73" s="142" t="s">
        <v>1426</v>
      </c>
      <c r="F73" s="178">
        <v>39521</v>
      </c>
      <c r="G73" s="144">
        <v>42000</v>
      </c>
      <c r="H73" s="145">
        <v>1</v>
      </c>
      <c r="I73" s="145">
        <v>0</v>
      </c>
      <c r="J73" s="145">
        <v>0</v>
      </c>
      <c r="K73" s="145">
        <v>0</v>
      </c>
      <c r="L73" s="144">
        <v>500</v>
      </c>
      <c r="M73" s="144">
        <f t="shared" si="3"/>
        <v>500</v>
      </c>
      <c r="N73" s="331">
        <f t="shared" si="4"/>
        <v>0</v>
      </c>
      <c r="O73" s="331">
        <f t="shared" si="5"/>
        <v>0</v>
      </c>
      <c r="P73" s="147" t="s">
        <v>1689</v>
      </c>
      <c r="Q73" s="147"/>
      <c r="R73" s="142" t="s">
        <v>2393</v>
      </c>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BA73" s="141">
        <f t="shared" si="6"/>
        <v>0</v>
      </c>
    </row>
    <row r="74" spans="1:53" s="90" customFormat="1" ht="12" customHeight="1" x14ac:dyDescent="0.15">
      <c r="A74" s="142" t="s">
        <v>1299</v>
      </c>
      <c r="B74" s="142" t="s">
        <v>1511</v>
      </c>
      <c r="C74" s="142" t="s">
        <v>604</v>
      </c>
      <c r="D74" s="142" t="s">
        <v>459</v>
      </c>
      <c r="E74" s="142" t="s">
        <v>1392</v>
      </c>
      <c r="F74" s="178">
        <v>39494</v>
      </c>
      <c r="G74" s="144">
        <v>20000</v>
      </c>
      <c r="H74" s="145">
        <v>2</v>
      </c>
      <c r="I74" s="145">
        <v>0</v>
      </c>
      <c r="J74" s="145">
        <v>0</v>
      </c>
      <c r="K74" s="145">
        <v>0</v>
      </c>
      <c r="L74" s="144">
        <f>270+1200</f>
        <v>1470</v>
      </c>
      <c r="M74" s="144">
        <f t="shared" si="3"/>
        <v>735</v>
      </c>
      <c r="N74" s="331">
        <f t="shared" si="4"/>
        <v>0</v>
      </c>
      <c r="O74" s="331">
        <f t="shared" si="5"/>
        <v>0</v>
      </c>
      <c r="P74" s="147" t="s">
        <v>1601</v>
      </c>
      <c r="Q74" s="147" t="s">
        <v>344</v>
      </c>
      <c r="R74" s="142" t="s">
        <v>2083</v>
      </c>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BA74" s="141">
        <f t="shared" si="6"/>
        <v>0</v>
      </c>
    </row>
    <row r="75" spans="1:53" s="90" customFormat="1" ht="12" customHeight="1" x14ac:dyDescent="0.15">
      <c r="A75" s="142" t="s">
        <v>334</v>
      </c>
      <c r="B75" s="142" t="s">
        <v>111</v>
      </c>
      <c r="C75" s="142" t="s">
        <v>1025</v>
      </c>
      <c r="D75" s="142" t="s">
        <v>631</v>
      </c>
      <c r="E75" s="142" t="s">
        <v>1136</v>
      </c>
      <c r="F75" s="178">
        <v>39524</v>
      </c>
      <c r="G75" s="144"/>
      <c r="H75" s="145">
        <v>2</v>
      </c>
      <c r="I75" s="145">
        <v>0</v>
      </c>
      <c r="J75" s="145">
        <v>0</v>
      </c>
      <c r="K75" s="145">
        <v>2</v>
      </c>
      <c r="L75" s="144">
        <v>1680</v>
      </c>
      <c r="M75" s="144">
        <f>L75/H75</f>
        <v>840</v>
      </c>
      <c r="N75" s="331">
        <f>I75/H75</f>
        <v>0</v>
      </c>
      <c r="O75" s="331">
        <f>SUM(I75:K75)/H75</f>
        <v>1</v>
      </c>
      <c r="P75" s="147" t="s">
        <v>1604</v>
      </c>
      <c r="Q75" s="147" t="s">
        <v>299</v>
      </c>
      <c r="R75" s="142" t="s">
        <v>2357</v>
      </c>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BA75" s="141">
        <f t="shared" si="6"/>
        <v>0</v>
      </c>
    </row>
    <row r="76" spans="1:53" s="90" customFormat="1" ht="12" customHeight="1" x14ac:dyDescent="0.15">
      <c r="A76" s="142" t="s">
        <v>324</v>
      </c>
      <c r="B76" s="142" t="s">
        <v>111</v>
      </c>
      <c r="C76" s="142" t="s">
        <v>838</v>
      </c>
      <c r="D76" s="142" t="s">
        <v>923</v>
      </c>
      <c r="E76" s="142" t="s">
        <v>223</v>
      </c>
      <c r="F76" s="178">
        <v>39481</v>
      </c>
      <c r="G76" s="144">
        <v>20000</v>
      </c>
      <c r="H76" s="145">
        <v>5</v>
      </c>
      <c r="I76" s="145">
        <v>0</v>
      </c>
      <c r="J76" s="145">
        <v>0</v>
      </c>
      <c r="K76" s="145">
        <v>0</v>
      </c>
      <c r="L76" s="144">
        <f>1800+230+200+720</f>
        <v>2950</v>
      </c>
      <c r="M76" s="144">
        <f t="shared" si="3"/>
        <v>590</v>
      </c>
      <c r="N76" s="331">
        <f t="shared" si="4"/>
        <v>0</v>
      </c>
      <c r="O76" s="331">
        <f t="shared" si="5"/>
        <v>0</v>
      </c>
      <c r="P76" s="147" t="s">
        <v>1689</v>
      </c>
      <c r="Q76" s="147"/>
      <c r="R76" s="142" t="s">
        <v>1898</v>
      </c>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BA76" s="141">
        <f t="shared" si="6"/>
        <v>0</v>
      </c>
    </row>
    <row r="77" spans="1:53" s="90" customFormat="1" ht="12" customHeight="1" x14ac:dyDescent="0.15">
      <c r="A77" s="142" t="s">
        <v>1598</v>
      </c>
      <c r="B77" s="142" t="s">
        <v>111</v>
      </c>
      <c r="C77" s="142" t="s">
        <v>1052</v>
      </c>
      <c r="D77" s="142" t="s">
        <v>648</v>
      </c>
      <c r="E77" s="142" t="s">
        <v>1386</v>
      </c>
      <c r="F77" s="178">
        <v>39576</v>
      </c>
      <c r="G77" s="144">
        <v>15000</v>
      </c>
      <c r="H77" s="145">
        <v>3</v>
      </c>
      <c r="I77" s="145">
        <v>0</v>
      </c>
      <c r="J77" s="145">
        <v>0</v>
      </c>
      <c r="K77" s="145">
        <v>0</v>
      </c>
      <c r="L77" s="144">
        <f>840+2400+1680</f>
        <v>4920</v>
      </c>
      <c r="M77" s="144">
        <f t="shared" si="3"/>
        <v>1640</v>
      </c>
      <c r="N77" s="331">
        <f t="shared" si="4"/>
        <v>0</v>
      </c>
      <c r="O77" s="331">
        <f t="shared" si="5"/>
        <v>0</v>
      </c>
      <c r="P77" s="147" t="s">
        <v>1604</v>
      </c>
      <c r="Q77" s="147"/>
      <c r="R77" s="142" t="s">
        <v>3388</v>
      </c>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BA77" s="141">
        <f t="shared" si="6"/>
        <v>0</v>
      </c>
    </row>
    <row r="78" spans="1:53" s="90" customFormat="1" ht="12" customHeight="1" x14ac:dyDescent="0.15">
      <c r="A78" s="142" t="s">
        <v>196</v>
      </c>
      <c r="B78" s="142" t="s">
        <v>116</v>
      </c>
      <c r="C78" s="142" t="s">
        <v>418</v>
      </c>
      <c r="D78" s="142" t="s">
        <v>999</v>
      </c>
      <c r="E78" s="142"/>
      <c r="F78" s="178">
        <v>39554</v>
      </c>
      <c r="G78" s="144">
        <v>9827962</v>
      </c>
      <c r="H78" s="145">
        <v>3</v>
      </c>
      <c r="I78" s="145">
        <v>0</v>
      </c>
      <c r="J78" s="145">
        <v>0</v>
      </c>
      <c r="K78" s="145">
        <v>1</v>
      </c>
      <c r="L78" s="144">
        <v>10373</v>
      </c>
      <c r="M78" s="144">
        <f t="shared" si="3"/>
        <v>3457.6666666666665</v>
      </c>
      <c r="N78" s="331">
        <f t="shared" si="4"/>
        <v>0</v>
      </c>
      <c r="O78" s="331">
        <f t="shared" si="5"/>
        <v>0.33333333333333331</v>
      </c>
      <c r="P78" s="147" t="s">
        <v>1689</v>
      </c>
      <c r="Q78" s="147"/>
      <c r="R78" s="142" t="s">
        <v>3367</v>
      </c>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BA78" s="141">
        <f t="shared" si="6"/>
        <v>0</v>
      </c>
    </row>
    <row r="79" spans="1:53" s="90" customFormat="1" ht="12" customHeight="1" x14ac:dyDescent="0.15">
      <c r="A79" s="142" t="s">
        <v>1485</v>
      </c>
      <c r="B79" s="142" t="s">
        <v>1910</v>
      </c>
      <c r="C79" s="142" t="s">
        <v>1069</v>
      </c>
      <c r="D79" s="142" t="s">
        <v>825</v>
      </c>
      <c r="E79" s="142" t="s">
        <v>1340</v>
      </c>
      <c r="F79" s="178">
        <v>39514</v>
      </c>
      <c r="G79" s="144"/>
      <c r="H79" s="145">
        <v>4</v>
      </c>
      <c r="I79" s="145">
        <v>0</v>
      </c>
      <c r="J79" s="145">
        <v>2</v>
      </c>
      <c r="K79" s="145">
        <v>1</v>
      </c>
      <c r="L79" s="144">
        <f>780+2600+5200+5200</f>
        <v>13780</v>
      </c>
      <c r="M79" s="144">
        <f>L79/H79</f>
        <v>3445</v>
      </c>
      <c r="N79" s="331">
        <f>I79/H79</f>
        <v>0</v>
      </c>
      <c r="O79" s="331">
        <f>SUM(I79:K79)/H79</f>
        <v>0.75</v>
      </c>
      <c r="P79" s="147" t="s">
        <v>1976</v>
      </c>
      <c r="Q79" s="147"/>
      <c r="R79" s="142" t="s">
        <v>4022</v>
      </c>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BA79" s="141">
        <f>IF(I79="","",IF(I79=0,0,1))</f>
        <v>0</v>
      </c>
    </row>
    <row r="80" spans="1:53" s="90" customFormat="1" ht="12" customHeight="1" x14ac:dyDescent="0.15">
      <c r="A80" s="142" t="s">
        <v>1507</v>
      </c>
      <c r="B80" s="142" t="s">
        <v>111</v>
      </c>
      <c r="C80" s="142" t="s">
        <v>685</v>
      </c>
      <c r="D80" s="142" t="s">
        <v>807</v>
      </c>
      <c r="E80" s="142" t="s">
        <v>1384</v>
      </c>
      <c r="F80" s="178">
        <v>39509</v>
      </c>
      <c r="G80" s="144"/>
      <c r="H80" s="145">
        <v>22</v>
      </c>
      <c r="I80" s="145">
        <v>0</v>
      </c>
      <c r="J80" s="145">
        <v>1</v>
      </c>
      <c r="K80" s="145">
        <v>3</v>
      </c>
      <c r="L80" s="144">
        <f>19304+1002+5437+0</f>
        <v>25743</v>
      </c>
      <c r="M80" s="144">
        <f>L80/H80</f>
        <v>1170.1363636363637</v>
      </c>
      <c r="N80" s="331">
        <f>I80/H80</f>
        <v>0</v>
      </c>
      <c r="O80" s="331">
        <f>SUM(I80:K80)/H80</f>
        <v>0.18181818181818182</v>
      </c>
      <c r="P80" s="147" t="s">
        <v>1689</v>
      </c>
      <c r="Q80" s="147" t="s">
        <v>1514</v>
      </c>
      <c r="R80" s="142" t="s">
        <v>3357</v>
      </c>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BA80" s="141">
        <f t="shared" ref="BA80:BA86" si="10">IF(I80="","",IF(I80=0,0,1))</f>
        <v>0</v>
      </c>
    </row>
    <row r="81" spans="1:53" s="90" customFormat="1" ht="12" customHeight="1" x14ac:dyDescent="0.15">
      <c r="A81" s="51" t="s">
        <v>1279</v>
      </c>
      <c r="B81" s="51" t="s">
        <v>1937</v>
      </c>
      <c r="C81" s="51" t="s">
        <v>688</v>
      </c>
      <c r="D81" s="51" t="s">
        <v>675</v>
      </c>
      <c r="E81" s="51" t="s">
        <v>227</v>
      </c>
      <c r="F81" s="50">
        <v>39505</v>
      </c>
      <c r="G81" s="86"/>
      <c r="H81" s="87"/>
      <c r="I81" s="87"/>
      <c r="J81" s="87"/>
      <c r="K81" s="87"/>
      <c r="L81" s="86" t="s">
        <v>391</v>
      </c>
      <c r="M81" s="86"/>
      <c r="N81" s="333" t="str">
        <f t="shared" ref="N81:N99" si="11">IF(H81="","--",I81/H81)</f>
        <v>--</v>
      </c>
      <c r="O81" s="333" t="str">
        <f t="shared" ref="O81:O99" si="12">IF(H81="","--",SUM(I81:K81)/H81)</f>
        <v>--</v>
      </c>
      <c r="P81" s="89" t="s">
        <v>48</v>
      </c>
      <c r="Q81" s="89" t="s">
        <v>49</v>
      </c>
      <c r="R81" s="51" t="s">
        <v>2298</v>
      </c>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13"/>
      <c r="BA81" s="141" t="str">
        <f t="shared" si="10"/>
        <v/>
      </c>
    </row>
    <row r="82" spans="1:53" s="90" customFormat="1" ht="12" customHeight="1" x14ac:dyDescent="0.15">
      <c r="A82" s="51" t="s">
        <v>350</v>
      </c>
      <c r="B82" s="51" t="s">
        <v>112</v>
      </c>
      <c r="C82" s="51" t="s">
        <v>568</v>
      </c>
      <c r="D82" s="51" t="s">
        <v>584</v>
      </c>
      <c r="E82" s="51" t="s">
        <v>1353</v>
      </c>
      <c r="F82" s="50">
        <v>39605</v>
      </c>
      <c r="G82" s="86">
        <v>2000</v>
      </c>
      <c r="H82" s="87"/>
      <c r="I82" s="87"/>
      <c r="J82" s="87"/>
      <c r="K82" s="87"/>
      <c r="L82" s="86" t="s">
        <v>391</v>
      </c>
      <c r="M82" s="86"/>
      <c r="N82" s="333" t="str">
        <f t="shared" si="11"/>
        <v>--</v>
      </c>
      <c r="O82" s="333" t="str">
        <f t="shared" si="12"/>
        <v>--</v>
      </c>
      <c r="P82" s="89" t="s">
        <v>1604</v>
      </c>
      <c r="Q82" s="89"/>
      <c r="R82" s="51" t="s">
        <v>1683</v>
      </c>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13"/>
      <c r="BA82" s="141" t="str">
        <f t="shared" si="10"/>
        <v/>
      </c>
    </row>
    <row r="83" spans="1:53" s="90" customFormat="1" ht="12" customHeight="1" x14ac:dyDescent="0.15">
      <c r="A83" s="51" t="s">
        <v>1215</v>
      </c>
      <c r="B83" s="51" t="s">
        <v>112</v>
      </c>
      <c r="C83" s="51" t="s">
        <v>756</v>
      </c>
      <c r="D83" s="51" t="s">
        <v>583</v>
      </c>
      <c r="E83" s="51" t="s">
        <v>149</v>
      </c>
      <c r="F83" s="50">
        <v>39468</v>
      </c>
      <c r="G83" s="86">
        <v>21000</v>
      </c>
      <c r="H83" s="87"/>
      <c r="I83" s="87"/>
      <c r="J83" s="87"/>
      <c r="K83" s="87"/>
      <c r="L83" s="86" t="s">
        <v>391</v>
      </c>
      <c r="M83" s="86"/>
      <c r="N83" s="333" t="str">
        <f>IF(H83="","--",I83/H83)</f>
        <v>--</v>
      </c>
      <c r="O83" s="333" t="str">
        <f>IF(H83="","--",SUM(I83:K83)/H83)</f>
        <v>--</v>
      </c>
      <c r="P83" s="89" t="s">
        <v>1604</v>
      </c>
      <c r="Q83" s="89"/>
      <c r="R83" s="51" t="s">
        <v>4081</v>
      </c>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13"/>
      <c r="BA83" s="141" t="str">
        <f>IF(I83="","",IF(I83=0,0,1))</f>
        <v/>
      </c>
    </row>
    <row r="84" spans="1:53" s="90" customFormat="1" ht="12" customHeight="1" x14ac:dyDescent="0.15">
      <c r="A84" s="51" t="s">
        <v>1245</v>
      </c>
      <c r="B84" s="51" t="s">
        <v>111</v>
      </c>
      <c r="C84" s="51" t="s">
        <v>821</v>
      </c>
      <c r="D84" s="51" t="s">
        <v>768</v>
      </c>
      <c r="E84" s="51" t="s">
        <v>1336</v>
      </c>
      <c r="F84" s="50">
        <v>39530</v>
      </c>
      <c r="G84" s="86">
        <v>10000</v>
      </c>
      <c r="H84" s="87"/>
      <c r="I84" s="87"/>
      <c r="J84" s="87"/>
      <c r="K84" s="87"/>
      <c r="L84" s="86" t="s">
        <v>391</v>
      </c>
      <c r="M84" s="86"/>
      <c r="N84" s="333" t="str">
        <f>IF(H84="","--",I84/H84)</f>
        <v>--</v>
      </c>
      <c r="O84" s="333" t="str">
        <f>IF(H84="","--",SUM(I84:K84)/H84)</f>
        <v>--</v>
      </c>
      <c r="P84" s="89" t="s">
        <v>1604</v>
      </c>
      <c r="Q84" s="89"/>
      <c r="R84" s="51" t="s">
        <v>3859</v>
      </c>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13"/>
      <c r="BA84" s="141" t="str">
        <f>IF(I84="","",IF(I84=0,0,1))</f>
        <v/>
      </c>
    </row>
    <row r="85" spans="1:53" s="90" customFormat="1" ht="12" customHeight="1" x14ac:dyDescent="0.15">
      <c r="A85" s="51" t="s">
        <v>1285</v>
      </c>
      <c r="B85" s="51" t="s">
        <v>1923</v>
      </c>
      <c r="C85" s="51" t="s">
        <v>781</v>
      </c>
      <c r="D85" s="51" t="s">
        <v>707</v>
      </c>
      <c r="E85" s="51" t="s">
        <v>1393</v>
      </c>
      <c r="F85" s="50">
        <v>39545</v>
      </c>
      <c r="G85" s="86"/>
      <c r="H85" s="87"/>
      <c r="I85" s="87"/>
      <c r="J85" s="87"/>
      <c r="K85" s="87"/>
      <c r="L85" s="86" t="s">
        <v>391</v>
      </c>
      <c r="M85" s="86"/>
      <c r="N85" s="333" t="str">
        <f t="shared" si="11"/>
        <v>--</v>
      </c>
      <c r="O85" s="333" t="str">
        <f t="shared" si="12"/>
        <v>--</v>
      </c>
      <c r="P85" s="89" t="s">
        <v>1689</v>
      </c>
      <c r="Q85" s="89"/>
      <c r="R85" s="51" t="s">
        <v>5239</v>
      </c>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13"/>
      <c r="BA85" s="141" t="str">
        <f t="shared" si="10"/>
        <v/>
      </c>
    </row>
    <row r="86" spans="1:53" s="90" customFormat="1" ht="12" customHeight="1" x14ac:dyDescent="0.15">
      <c r="A86" s="51" t="s">
        <v>1209</v>
      </c>
      <c r="B86" s="51" t="s">
        <v>1923</v>
      </c>
      <c r="C86" s="51" t="s">
        <v>740</v>
      </c>
      <c r="D86" s="51" t="s">
        <v>741</v>
      </c>
      <c r="E86" s="51" t="s">
        <v>1427</v>
      </c>
      <c r="F86" s="50">
        <v>39550</v>
      </c>
      <c r="G86" s="86">
        <v>8000</v>
      </c>
      <c r="H86" s="87"/>
      <c r="I86" s="87"/>
      <c r="J86" s="87"/>
      <c r="K86" s="87"/>
      <c r="L86" s="86" t="s">
        <v>391</v>
      </c>
      <c r="M86" s="86"/>
      <c r="N86" s="333" t="str">
        <f t="shared" si="11"/>
        <v>--</v>
      </c>
      <c r="O86" s="333" t="str">
        <f t="shared" si="12"/>
        <v>--</v>
      </c>
      <c r="P86" s="89" t="s">
        <v>1603</v>
      </c>
      <c r="Q86" s="89"/>
      <c r="R86" s="51" t="s">
        <v>3389</v>
      </c>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13"/>
      <c r="BA86" s="141" t="str">
        <f t="shared" si="10"/>
        <v/>
      </c>
    </row>
    <row r="87" spans="1:53" s="90" customFormat="1" ht="12" customHeight="1" x14ac:dyDescent="0.15">
      <c r="A87" s="51" t="s">
        <v>328</v>
      </c>
      <c r="B87" s="51" t="s">
        <v>111</v>
      </c>
      <c r="C87" s="51" t="s">
        <v>1102</v>
      </c>
      <c r="D87" s="51" t="s">
        <v>1061</v>
      </c>
      <c r="E87" s="51" t="s">
        <v>1374</v>
      </c>
      <c r="F87" s="50">
        <v>39583</v>
      </c>
      <c r="G87" s="86">
        <v>30000</v>
      </c>
      <c r="H87" s="87"/>
      <c r="I87" s="87"/>
      <c r="J87" s="87"/>
      <c r="K87" s="87"/>
      <c r="L87" s="86" t="s">
        <v>391</v>
      </c>
      <c r="M87" s="86"/>
      <c r="N87" s="333" t="str">
        <f t="shared" si="11"/>
        <v>--</v>
      </c>
      <c r="O87" s="333" t="str">
        <f t="shared" si="12"/>
        <v>--</v>
      </c>
      <c r="P87" s="89" t="s">
        <v>1604</v>
      </c>
      <c r="Q87" s="89"/>
      <c r="R87" s="51" t="s">
        <v>1554</v>
      </c>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13"/>
      <c r="BA87" s="141" t="str">
        <f t="shared" ref="BA87:BA99" si="13">IF(I87="","",IF(I87=0,0,1))</f>
        <v/>
      </c>
    </row>
    <row r="88" spans="1:53" s="90" customFormat="1" ht="12" customHeight="1" x14ac:dyDescent="0.15">
      <c r="A88" s="51" t="s">
        <v>1320</v>
      </c>
      <c r="B88" s="51" t="s">
        <v>111</v>
      </c>
      <c r="C88" s="51" t="s">
        <v>586</v>
      </c>
      <c r="D88" s="51" t="s">
        <v>915</v>
      </c>
      <c r="E88" s="51" t="s">
        <v>1328</v>
      </c>
      <c r="F88" s="50">
        <v>39495</v>
      </c>
      <c r="G88" s="86"/>
      <c r="H88" s="87"/>
      <c r="I88" s="87"/>
      <c r="J88" s="87"/>
      <c r="K88" s="87"/>
      <c r="L88" s="86" t="s">
        <v>391</v>
      </c>
      <c r="M88" s="86"/>
      <c r="N88" s="333" t="str">
        <f t="shared" si="11"/>
        <v>--</v>
      </c>
      <c r="O88" s="333" t="str">
        <f t="shared" si="12"/>
        <v>--</v>
      </c>
      <c r="P88" s="89" t="s">
        <v>1604</v>
      </c>
      <c r="Q88" s="89" t="s">
        <v>1321</v>
      </c>
      <c r="R88" s="51" t="s">
        <v>1905</v>
      </c>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13"/>
      <c r="BA88" s="141" t="str">
        <f t="shared" si="13"/>
        <v/>
      </c>
    </row>
    <row r="89" spans="1:53" s="90" customFormat="1" ht="12" customHeight="1" x14ac:dyDescent="0.15">
      <c r="A89" s="51" t="s">
        <v>333</v>
      </c>
      <c r="B89" s="51" t="s">
        <v>111</v>
      </c>
      <c r="C89" s="51" t="s">
        <v>965</v>
      </c>
      <c r="D89" s="51" t="s">
        <v>769</v>
      </c>
      <c r="E89" s="51" t="s">
        <v>1379</v>
      </c>
      <c r="F89" s="50">
        <v>39481</v>
      </c>
      <c r="G89" s="86">
        <v>12000</v>
      </c>
      <c r="H89" s="87"/>
      <c r="I89" s="87"/>
      <c r="J89" s="87"/>
      <c r="K89" s="87"/>
      <c r="L89" s="86" t="s">
        <v>391</v>
      </c>
      <c r="M89" s="86"/>
      <c r="N89" s="333" t="str">
        <f t="shared" si="11"/>
        <v>--</v>
      </c>
      <c r="O89" s="333" t="str">
        <f t="shared" si="12"/>
        <v>--</v>
      </c>
      <c r="P89" s="89" t="s">
        <v>1604</v>
      </c>
      <c r="Q89" s="89"/>
      <c r="R89" s="51" t="s">
        <v>1902</v>
      </c>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13"/>
      <c r="BA89" s="141" t="str">
        <f t="shared" si="13"/>
        <v/>
      </c>
    </row>
    <row r="90" spans="1:53" s="90" customFormat="1" ht="12" customHeight="1" x14ac:dyDescent="0.15">
      <c r="A90" s="51" t="s">
        <v>1308</v>
      </c>
      <c r="B90" s="51" t="s">
        <v>1924</v>
      </c>
      <c r="C90" s="51" t="s">
        <v>636</v>
      </c>
      <c r="D90" s="51" t="s">
        <v>952</v>
      </c>
      <c r="E90" s="51" t="s">
        <v>1213</v>
      </c>
      <c r="F90" s="50">
        <v>39508</v>
      </c>
      <c r="G90" s="86"/>
      <c r="H90" s="87"/>
      <c r="I90" s="87"/>
      <c r="J90" s="87"/>
      <c r="K90" s="87"/>
      <c r="L90" s="86" t="s">
        <v>391</v>
      </c>
      <c r="M90" s="86"/>
      <c r="N90" s="333" t="str">
        <f t="shared" si="11"/>
        <v>--</v>
      </c>
      <c r="O90" s="333" t="str">
        <f t="shared" si="12"/>
        <v>--</v>
      </c>
      <c r="P90" s="89" t="s">
        <v>1976</v>
      </c>
      <c r="Q90" s="89"/>
      <c r="R90" s="51" t="s">
        <v>2119</v>
      </c>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13"/>
      <c r="BA90" s="141" t="str">
        <f t="shared" si="13"/>
        <v/>
      </c>
    </row>
    <row r="91" spans="1:53" s="90" customFormat="1" ht="12" customHeight="1" x14ac:dyDescent="0.15">
      <c r="A91" s="51" t="s">
        <v>506</v>
      </c>
      <c r="B91" s="51" t="s">
        <v>111</v>
      </c>
      <c r="C91" s="51" t="s">
        <v>1065</v>
      </c>
      <c r="D91" s="51" t="s">
        <v>1066</v>
      </c>
      <c r="E91" s="51" t="s">
        <v>1395</v>
      </c>
      <c r="F91" s="50">
        <v>39561</v>
      </c>
      <c r="G91" s="86"/>
      <c r="H91" s="87"/>
      <c r="I91" s="87"/>
      <c r="J91" s="87"/>
      <c r="K91" s="87"/>
      <c r="L91" s="86" t="s">
        <v>391</v>
      </c>
      <c r="M91" s="86"/>
      <c r="N91" s="333" t="str">
        <f t="shared" si="11"/>
        <v>--</v>
      </c>
      <c r="O91" s="333" t="str">
        <f t="shared" si="12"/>
        <v>--</v>
      </c>
      <c r="P91" s="89" t="s">
        <v>1604</v>
      </c>
      <c r="Q91" s="89" t="s">
        <v>1605</v>
      </c>
      <c r="R91" s="51" t="s">
        <v>2064</v>
      </c>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13"/>
      <c r="BA91" s="141" t="str">
        <f t="shared" si="13"/>
        <v/>
      </c>
    </row>
    <row r="92" spans="1:53" s="90" customFormat="1" ht="12" customHeight="1" x14ac:dyDescent="0.15">
      <c r="A92" s="51" t="s">
        <v>1288</v>
      </c>
      <c r="B92" s="51" t="s">
        <v>1930</v>
      </c>
      <c r="C92" s="51" t="s">
        <v>1083</v>
      </c>
      <c r="D92" s="51" t="s">
        <v>1084</v>
      </c>
      <c r="E92" s="51" t="s">
        <v>1358</v>
      </c>
      <c r="F92" s="50">
        <v>39535</v>
      </c>
      <c r="G92" s="86"/>
      <c r="H92" s="87"/>
      <c r="I92" s="87"/>
      <c r="J92" s="87"/>
      <c r="K92" s="87"/>
      <c r="L92" s="86" t="s">
        <v>391</v>
      </c>
      <c r="M92" s="86"/>
      <c r="N92" s="333" t="str">
        <f t="shared" si="11"/>
        <v>--</v>
      </c>
      <c r="O92" s="333" t="str">
        <f t="shared" si="12"/>
        <v>--</v>
      </c>
      <c r="P92" s="89" t="s">
        <v>1604</v>
      </c>
      <c r="Q92" s="89"/>
      <c r="R92" s="51" t="s">
        <v>2426</v>
      </c>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13"/>
      <c r="BA92" s="141" t="str">
        <f t="shared" si="13"/>
        <v/>
      </c>
    </row>
    <row r="93" spans="1:53" s="90" customFormat="1" ht="12" customHeight="1" x14ac:dyDescent="0.15">
      <c r="A93" s="51" t="s">
        <v>663</v>
      </c>
      <c r="B93" s="51" t="s">
        <v>1928</v>
      </c>
      <c r="C93" s="51" t="s">
        <v>883</v>
      </c>
      <c r="D93" s="51" t="s">
        <v>903</v>
      </c>
      <c r="E93" s="51" t="s">
        <v>1437</v>
      </c>
      <c r="F93" s="50">
        <v>39555</v>
      </c>
      <c r="G93" s="86"/>
      <c r="H93" s="87"/>
      <c r="I93" s="87"/>
      <c r="J93" s="87"/>
      <c r="K93" s="87"/>
      <c r="L93" s="86" t="s">
        <v>391</v>
      </c>
      <c r="M93" s="86"/>
      <c r="N93" s="333" t="str">
        <f t="shared" si="11"/>
        <v>--</v>
      </c>
      <c r="O93" s="333" t="str">
        <f t="shared" si="12"/>
        <v>--</v>
      </c>
      <c r="P93" s="89" t="s">
        <v>251</v>
      </c>
      <c r="Q93" s="89"/>
      <c r="R93" s="51" t="s">
        <v>1297</v>
      </c>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13"/>
      <c r="BA93" s="141" t="str">
        <f t="shared" si="13"/>
        <v/>
      </c>
    </row>
    <row r="94" spans="1:53" s="90" customFormat="1" ht="12" customHeight="1" x14ac:dyDescent="0.15">
      <c r="A94" s="51" t="s">
        <v>323</v>
      </c>
      <c r="B94" s="51" t="s">
        <v>111</v>
      </c>
      <c r="C94" s="51" t="s">
        <v>694</v>
      </c>
      <c r="D94" s="51" t="s">
        <v>973</v>
      </c>
      <c r="E94" s="51" t="s">
        <v>1331</v>
      </c>
      <c r="F94" s="50">
        <v>39484</v>
      </c>
      <c r="G94" s="86"/>
      <c r="H94" s="87"/>
      <c r="I94" s="87"/>
      <c r="J94" s="87"/>
      <c r="K94" s="87"/>
      <c r="L94" s="86" t="s">
        <v>391</v>
      </c>
      <c r="M94" s="86"/>
      <c r="N94" s="333" t="str">
        <f t="shared" si="11"/>
        <v>--</v>
      </c>
      <c r="O94" s="333" t="str">
        <f t="shared" si="12"/>
        <v>--</v>
      </c>
      <c r="P94" s="89" t="s">
        <v>1604</v>
      </c>
      <c r="Q94" s="89"/>
      <c r="R94" s="51" t="s">
        <v>1614</v>
      </c>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13"/>
      <c r="BA94" s="141" t="str">
        <f t="shared" si="13"/>
        <v/>
      </c>
    </row>
    <row r="95" spans="1:53" s="90" customFormat="1" ht="12" customHeight="1" x14ac:dyDescent="0.15">
      <c r="A95" s="51" t="s">
        <v>1551</v>
      </c>
      <c r="B95" s="51" t="s">
        <v>1513</v>
      </c>
      <c r="C95" s="51" t="s">
        <v>818</v>
      </c>
      <c r="D95" s="51" t="s">
        <v>459</v>
      </c>
      <c r="E95" s="51" t="s">
        <v>1324</v>
      </c>
      <c r="F95" s="50">
        <v>39506</v>
      </c>
      <c r="G95" s="86"/>
      <c r="H95" s="87"/>
      <c r="I95" s="87"/>
      <c r="J95" s="87"/>
      <c r="K95" s="87"/>
      <c r="L95" s="86" t="s">
        <v>391</v>
      </c>
      <c r="M95" s="86"/>
      <c r="N95" s="333" t="str">
        <f t="shared" si="11"/>
        <v>--</v>
      </c>
      <c r="O95" s="333" t="str">
        <f t="shared" si="12"/>
        <v>--</v>
      </c>
      <c r="P95" s="89" t="s">
        <v>1595</v>
      </c>
      <c r="Q95" s="89"/>
      <c r="R95" s="51"/>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13"/>
      <c r="BA95" s="141" t="str">
        <f t="shared" si="13"/>
        <v/>
      </c>
    </row>
    <row r="96" spans="1:53" s="90" customFormat="1" ht="12" customHeight="1" x14ac:dyDescent="0.15">
      <c r="A96" s="51" t="s">
        <v>1551</v>
      </c>
      <c r="B96" s="51" t="s">
        <v>1918</v>
      </c>
      <c r="C96" s="51" t="s">
        <v>463</v>
      </c>
      <c r="D96" s="51" t="s">
        <v>610</v>
      </c>
      <c r="E96" s="51" t="s">
        <v>1387</v>
      </c>
      <c r="F96" s="50">
        <v>39510</v>
      </c>
      <c r="G96" s="86"/>
      <c r="H96" s="87"/>
      <c r="I96" s="87"/>
      <c r="J96" s="87"/>
      <c r="K96" s="87"/>
      <c r="L96" s="86" t="s">
        <v>391</v>
      </c>
      <c r="M96" s="86"/>
      <c r="N96" s="333" t="str">
        <f t="shared" si="11"/>
        <v>--</v>
      </c>
      <c r="O96" s="333" t="str">
        <f t="shared" si="12"/>
        <v>--</v>
      </c>
      <c r="P96" s="89" t="s">
        <v>1595</v>
      </c>
      <c r="Q96" s="89"/>
      <c r="R96" s="51" t="s">
        <v>1116</v>
      </c>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13"/>
      <c r="BA96" s="141" t="str">
        <f t="shared" si="13"/>
        <v/>
      </c>
    </row>
    <row r="97" spans="1:53" s="90" customFormat="1" ht="12" customHeight="1" x14ac:dyDescent="0.15">
      <c r="A97" s="51" t="s">
        <v>1551</v>
      </c>
      <c r="B97" s="51" t="s">
        <v>1931</v>
      </c>
      <c r="C97" s="51" t="s">
        <v>780</v>
      </c>
      <c r="D97" s="51" t="s">
        <v>1108</v>
      </c>
      <c r="E97" s="51" t="s">
        <v>1341</v>
      </c>
      <c r="F97" s="50">
        <v>39714</v>
      </c>
      <c r="G97" s="86"/>
      <c r="H97" s="87"/>
      <c r="I97" s="87"/>
      <c r="J97" s="87"/>
      <c r="K97" s="87"/>
      <c r="L97" s="86" t="s">
        <v>391</v>
      </c>
      <c r="M97" s="86"/>
      <c r="N97" s="333" t="str">
        <f t="shared" si="11"/>
        <v>--</v>
      </c>
      <c r="O97" s="333" t="str">
        <f t="shared" si="12"/>
        <v>--</v>
      </c>
      <c r="P97" s="89" t="s">
        <v>1604</v>
      </c>
      <c r="Q97" s="89"/>
      <c r="R97" s="51" t="s">
        <v>1904</v>
      </c>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13"/>
      <c r="BA97" s="141" t="str">
        <f t="shared" si="13"/>
        <v/>
      </c>
    </row>
    <row r="98" spans="1:53" s="90" customFormat="1" ht="12" customHeight="1" x14ac:dyDescent="0.15">
      <c r="A98" s="51" t="s">
        <v>1551</v>
      </c>
      <c r="B98" s="51" t="s">
        <v>1654</v>
      </c>
      <c r="C98" s="51" t="s">
        <v>567</v>
      </c>
      <c r="D98" s="51" t="s">
        <v>958</v>
      </c>
      <c r="E98" s="51" t="s">
        <v>1383</v>
      </c>
      <c r="F98" s="50">
        <v>39510</v>
      </c>
      <c r="G98" s="86">
        <v>4500</v>
      </c>
      <c r="H98" s="87"/>
      <c r="I98" s="87"/>
      <c r="J98" s="87"/>
      <c r="K98" s="87"/>
      <c r="L98" s="86" t="s">
        <v>391</v>
      </c>
      <c r="M98" s="86"/>
      <c r="N98" s="333" t="str">
        <f t="shared" si="11"/>
        <v>--</v>
      </c>
      <c r="O98" s="333" t="str">
        <f t="shared" si="12"/>
        <v>--</v>
      </c>
      <c r="P98" s="89" t="s">
        <v>1601</v>
      </c>
      <c r="Q98" s="89"/>
      <c r="R98" s="51" t="s">
        <v>1986</v>
      </c>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13"/>
      <c r="BA98" s="141" t="str">
        <f t="shared" si="13"/>
        <v/>
      </c>
    </row>
    <row r="99" spans="1:53" s="90" customFormat="1" ht="12" customHeight="1" x14ac:dyDescent="0.15">
      <c r="A99" s="51" t="s">
        <v>1551</v>
      </c>
      <c r="B99" s="51" t="s">
        <v>1932</v>
      </c>
      <c r="C99" s="51" t="s">
        <v>1236</v>
      </c>
      <c r="D99" s="51" t="s">
        <v>462</v>
      </c>
      <c r="E99" s="51"/>
      <c r="F99" s="179" t="s">
        <v>1961</v>
      </c>
      <c r="G99" s="86"/>
      <c r="H99" s="87"/>
      <c r="I99" s="87"/>
      <c r="J99" s="87"/>
      <c r="K99" s="87"/>
      <c r="L99" s="86"/>
      <c r="M99" s="86"/>
      <c r="N99" s="333" t="str">
        <f t="shared" si="11"/>
        <v>--</v>
      </c>
      <c r="O99" s="333" t="str">
        <f t="shared" si="12"/>
        <v>--</v>
      </c>
      <c r="P99" s="51" t="s">
        <v>1594</v>
      </c>
      <c r="Q99" s="89"/>
      <c r="R99" s="51" t="s">
        <v>1235</v>
      </c>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13"/>
      <c r="BA99" s="141" t="str">
        <f t="shared" si="13"/>
        <v/>
      </c>
    </row>
    <row r="100" spans="1:53" s="90" customFormat="1" ht="12" customHeight="1" x14ac:dyDescent="0.15">
      <c r="A100" s="70"/>
      <c r="B100" s="70"/>
      <c r="C100" s="70"/>
      <c r="D100" s="70"/>
      <c r="E100" s="70"/>
      <c r="F100" s="69"/>
      <c r="G100" s="92"/>
      <c r="H100" s="93"/>
      <c r="I100" s="93"/>
      <c r="J100" s="93"/>
      <c r="K100" s="93"/>
      <c r="L100" s="92"/>
      <c r="M100" s="92"/>
      <c r="N100" s="92"/>
      <c r="O100" s="92"/>
      <c r="P100" s="70"/>
      <c r="Q100" s="95"/>
      <c r="R100" s="70"/>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13"/>
      <c r="BA100" s="141"/>
    </row>
    <row r="101" spans="1:53" s="90" customFormat="1" ht="12" customHeight="1" x14ac:dyDescent="0.15">
      <c r="A101" s="130"/>
      <c r="B101" s="70"/>
      <c r="C101" s="70"/>
      <c r="D101" s="110" t="s">
        <v>3640</v>
      </c>
      <c r="E101" s="70"/>
      <c r="F101" s="91"/>
      <c r="G101" s="92"/>
      <c r="H101" s="93"/>
      <c r="I101" s="93"/>
      <c r="J101" s="93"/>
      <c r="K101" s="93"/>
      <c r="L101" s="92"/>
      <c r="M101" s="120"/>
      <c r="N101" s="120"/>
      <c r="O101" s="120"/>
      <c r="P101" s="94"/>
      <c r="Q101" s="95"/>
      <c r="R101" s="95"/>
      <c r="S101" s="67"/>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13"/>
    </row>
    <row r="102" spans="1:53" s="90" customFormat="1" ht="12" customHeight="1" x14ac:dyDescent="0.15">
      <c r="A102" s="130"/>
      <c r="B102" s="70"/>
      <c r="C102" s="70"/>
      <c r="D102" s="164"/>
      <c r="E102" s="70"/>
      <c r="F102" s="91"/>
      <c r="G102" s="92"/>
      <c r="H102" s="93"/>
      <c r="I102" s="93"/>
      <c r="J102" s="93"/>
      <c r="K102" s="93"/>
      <c r="L102" s="92"/>
      <c r="M102" s="120"/>
      <c r="N102" s="120"/>
      <c r="O102" s="120"/>
      <c r="P102" s="94"/>
      <c r="Q102" s="95"/>
      <c r="R102" s="95"/>
      <c r="S102" s="67"/>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13"/>
    </row>
    <row r="103" spans="1:53" ht="12" customHeight="1" x14ac:dyDescent="0.15">
      <c r="D103" s="110" t="s">
        <v>3784</v>
      </c>
      <c r="F103" s="101"/>
      <c r="L103" s="21"/>
      <c r="M103" s="21"/>
      <c r="N103" s="8"/>
      <c r="O103" s="8"/>
      <c r="Q103" s="75"/>
      <c r="BA103" s="141"/>
    </row>
    <row r="104" spans="1:53" s="90" customFormat="1" ht="12" customHeight="1" x14ac:dyDescent="0.15">
      <c r="A104" s="70"/>
      <c r="B104" s="70"/>
      <c r="C104" s="70"/>
      <c r="D104" s="70"/>
      <c r="E104" s="70"/>
      <c r="F104" s="69"/>
      <c r="G104" s="92"/>
      <c r="H104" s="93"/>
      <c r="I104" s="93"/>
      <c r="J104" s="93"/>
      <c r="K104" s="93"/>
      <c r="L104" s="92"/>
      <c r="M104" s="92"/>
      <c r="N104" s="347"/>
      <c r="O104" s="347"/>
      <c r="P104" s="95"/>
      <c r="Q104" s="95"/>
      <c r="R104" s="70"/>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13"/>
      <c r="BA104" s="141"/>
    </row>
    <row r="105" spans="1:53" ht="12" customHeight="1" x14ac:dyDescent="0.15">
      <c r="G105" s="11" t="s">
        <v>1573</v>
      </c>
      <c r="H105" s="75">
        <f>COUNT(H$2:H99)</f>
        <v>65</v>
      </c>
      <c r="I105" s="104"/>
      <c r="J105" s="104"/>
      <c r="K105" s="104"/>
      <c r="L105" s="166"/>
      <c r="M105" s="166"/>
      <c r="N105" s="166"/>
      <c r="O105" s="166"/>
      <c r="P105" s="149"/>
      <c r="Q105" s="149"/>
    </row>
    <row r="106" spans="1:53" ht="12" customHeight="1" x14ac:dyDescent="0.15">
      <c r="G106" s="11" t="s">
        <v>1588</v>
      </c>
      <c r="H106" s="75">
        <f>BA106</f>
        <v>53</v>
      </c>
      <c r="I106" s="104"/>
      <c r="J106" s="104"/>
      <c r="K106" s="104"/>
      <c r="L106" s="166"/>
      <c r="M106" s="166"/>
      <c r="N106" s="166"/>
      <c r="O106" s="166"/>
      <c r="P106" s="149"/>
      <c r="Q106" s="149"/>
      <c r="BA106" s="14">
        <f>SUM(BA2:BA105)</f>
        <v>53</v>
      </c>
    </row>
    <row r="107" spans="1:53" ht="12" customHeight="1" x14ac:dyDescent="0.15">
      <c r="G107" s="11" t="s">
        <v>1589</v>
      </c>
      <c r="H107" s="124">
        <f>H106/H105</f>
        <v>0.81538461538461537</v>
      </c>
      <c r="I107" s="104"/>
      <c r="J107" s="104"/>
      <c r="K107" s="104"/>
      <c r="L107" s="166"/>
      <c r="M107" s="166"/>
      <c r="N107" s="166"/>
      <c r="O107" s="166"/>
      <c r="P107" s="149"/>
      <c r="Q107" s="149"/>
    </row>
    <row r="108" spans="1:53" ht="12" customHeight="1" x14ac:dyDescent="0.15">
      <c r="G108" s="166"/>
      <c r="H108" s="104"/>
      <c r="I108" s="104"/>
      <c r="J108" s="104"/>
      <c r="K108" s="104"/>
      <c r="L108" s="166"/>
      <c r="M108" s="166"/>
      <c r="N108" s="166"/>
      <c r="O108" s="166"/>
      <c r="P108" s="149"/>
      <c r="Q108" s="149"/>
    </row>
    <row r="109" spans="1:53" ht="12" customHeight="1" x14ac:dyDescent="0.15">
      <c r="F109" s="105" t="s">
        <v>852</v>
      </c>
      <c r="G109" s="131">
        <f>SUM(G$6:G$102)/COUNTA(G$6:G$102)</f>
        <v>225587</v>
      </c>
      <c r="H109" s="103"/>
      <c r="I109" s="103"/>
      <c r="J109" s="103"/>
      <c r="K109" s="103"/>
      <c r="L109" s="96"/>
      <c r="M109" s="96"/>
      <c r="N109" s="96"/>
      <c r="O109" s="96"/>
      <c r="P109" s="149"/>
      <c r="Q109" s="149"/>
    </row>
    <row r="110" spans="1:53" ht="12" customHeight="1" x14ac:dyDescent="0.15">
      <c r="G110" s="96"/>
      <c r="H110" s="103"/>
      <c r="I110" s="103"/>
      <c r="J110" s="103"/>
      <c r="K110" s="103"/>
      <c r="L110" s="96"/>
      <c r="M110" s="96"/>
      <c r="N110" s="96"/>
      <c r="O110" s="96"/>
      <c r="P110" s="149"/>
      <c r="Q110" s="149"/>
    </row>
    <row r="111" spans="1:53" ht="12" customHeight="1" x14ac:dyDescent="0.15">
      <c r="F111" s="105"/>
      <c r="G111" s="173" t="s">
        <v>1148</v>
      </c>
      <c r="H111" s="154">
        <f>SUM(H$2:H$99)</f>
        <v>1082</v>
      </c>
      <c r="I111" s="154">
        <f>SUM(I$2:I$99)</f>
        <v>143</v>
      </c>
      <c r="J111" s="154">
        <f>SUM(J$2:J$99)</f>
        <v>148</v>
      </c>
      <c r="K111" s="154">
        <f>SUM(K$2:K$99)</f>
        <v>140</v>
      </c>
      <c r="L111" s="172">
        <f>SUM(L$2:L$99)</f>
        <v>7364738</v>
      </c>
      <c r="M111" s="172"/>
      <c r="N111" s="172"/>
      <c r="O111" s="172"/>
      <c r="P111" s="155"/>
      <c r="Q111" s="155"/>
      <c r="R111" s="37" t="s">
        <v>361</v>
      </c>
    </row>
    <row r="112" spans="1:53" ht="12" customHeight="1" x14ac:dyDescent="0.15">
      <c r="F112" s="105"/>
      <c r="G112" s="173" t="s">
        <v>39</v>
      </c>
      <c r="H112" s="154"/>
      <c r="I112" s="154"/>
      <c r="J112" s="154"/>
      <c r="K112" s="154"/>
      <c r="L112" s="173">
        <f>L111/H111</f>
        <v>6806.597042513863</v>
      </c>
      <c r="M112" s="173"/>
      <c r="N112" s="173"/>
      <c r="O112" s="173"/>
      <c r="P112" s="155"/>
      <c r="Q112" s="155"/>
      <c r="R112" s="37"/>
    </row>
    <row r="113" spans="1:53" ht="12" customHeight="1" x14ac:dyDescent="0.15">
      <c r="B113" s="110"/>
      <c r="F113" s="71"/>
      <c r="G113" s="180" t="s">
        <v>1252</v>
      </c>
      <c r="H113" s="124">
        <f>I111/H111</f>
        <v>0.13216266173752311</v>
      </c>
      <c r="I113" s="103"/>
      <c r="J113" s="103"/>
      <c r="K113" s="103"/>
      <c r="L113" s="180"/>
      <c r="M113" s="180"/>
      <c r="N113" s="180"/>
      <c r="O113" s="180"/>
      <c r="P113" s="149"/>
      <c r="Q113" s="149"/>
    </row>
    <row r="114" spans="1:53" s="112" customFormat="1" ht="12" customHeight="1" x14ac:dyDescent="0.15">
      <c r="A114" s="126"/>
      <c r="B114" s="110"/>
      <c r="C114" s="110"/>
      <c r="D114" s="110"/>
      <c r="E114" s="110"/>
      <c r="F114" s="71"/>
      <c r="G114" s="180" t="s">
        <v>1253</v>
      </c>
      <c r="H114" s="124">
        <f>(SUM(I111:K111)/H111)</f>
        <v>0.39833641404805914</v>
      </c>
      <c r="I114" s="103"/>
      <c r="J114" s="103"/>
      <c r="K114" s="103"/>
      <c r="L114" s="180"/>
      <c r="M114" s="180"/>
      <c r="N114" s="180"/>
      <c r="O114" s="180"/>
      <c r="P114" s="149"/>
      <c r="Q114" s="149"/>
      <c r="R114" s="110"/>
      <c r="BA114" s="111"/>
    </row>
    <row r="115" spans="1:53" ht="12" customHeight="1" x14ac:dyDescent="0.15">
      <c r="G115" s="96"/>
      <c r="H115" s="103"/>
      <c r="I115" s="103"/>
      <c r="J115" s="103"/>
      <c r="K115" s="103"/>
      <c r="L115" s="96"/>
      <c r="M115" s="96"/>
      <c r="N115" s="96"/>
      <c r="O115" s="96"/>
      <c r="P115" s="149"/>
      <c r="Q115" s="149"/>
    </row>
    <row r="116" spans="1:53" ht="12" customHeight="1" x14ac:dyDescent="0.15">
      <c r="G116" s="166"/>
      <c r="H116" s="104"/>
      <c r="I116" s="104"/>
      <c r="J116" s="104"/>
      <c r="K116" s="104"/>
      <c r="L116" s="166"/>
      <c r="M116" s="166"/>
      <c r="N116" s="166"/>
      <c r="O116" s="166"/>
      <c r="P116" s="149"/>
      <c r="Q116" s="149"/>
    </row>
    <row r="117" spans="1:53" s="112" customFormat="1" ht="12" customHeight="1" x14ac:dyDescent="0.15">
      <c r="A117" s="126" t="s">
        <v>612</v>
      </c>
      <c r="B117" s="110"/>
      <c r="C117" s="110"/>
      <c r="D117" s="110"/>
      <c r="E117" s="110"/>
      <c r="F117" s="71"/>
      <c r="G117" s="181"/>
      <c r="H117" s="182"/>
      <c r="I117" s="182"/>
      <c r="J117" s="182"/>
      <c r="K117" s="182"/>
      <c r="L117" s="181"/>
      <c r="M117" s="181"/>
      <c r="N117" s="181"/>
      <c r="O117" s="181"/>
      <c r="P117" s="183"/>
      <c r="Q117" s="183"/>
      <c r="R117" s="110"/>
      <c r="BA117" s="111"/>
    </row>
    <row r="118" spans="1:53" ht="12" customHeight="1" x14ac:dyDescent="0.15">
      <c r="C118" s="6" t="s">
        <v>1117</v>
      </c>
      <c r="D118" s="6" t="s">
        <v>1070</v>
      </c>
      <c r="G118" s="181"/>
      <c r="H118" s="182"/>
      <c r="I118" s="182"/>
      <c r="J118" s="182"/>
      <c r="K118" s="182"/>
      <c r="L118" s="181"/>
      <c r="M118" s="181"/>
      <c r="N118" s="181"/>
      <c r="O118" s="181"/>
      <c r="P118" s="183"/>
      <c r="Q118" s="183"/>
      <c r="R118" s="6" t="s">
        <v>784</v>
      </c>
    </row>
    <row r="119" spans="1:53" ht="12" customHeight="1" x14ac:dyDescent="0.15">
      <c r="C119" s="6" t="s">
        <v>537</v>
      </c>
      <c r="D119" s="6" t="s">
        <v>752</v>
      </c>
      <c r="G119" s="96"/>
      <c r="H119" s="103"/>
      <c r="I119" s="103"/>
      <c r="J119" s="103"/>
      <c r="K119" s="103"/>
      <c r="L119" s="96"/>
      <c r="M119" s="96"/>
      <c r="N119" s="96"/>
      <c r="O119" s="96"/>
      <c r="P119" s="149"/>
      <c r="Q119" s="149"/>
      <c r="R119" s="6" t="s">
        <v>654</v>
      </c>
    </row>
    <row r="120" spans="1:53" ht="12" customHeight="1" x14ac:dyDescent="0.15">
      <c r="C120" s="6" t="s">
        <v>552</v>
      </c>
      <c r="D120" s="6" t="s">
        <v>459</v>
      </c>
      <c r="G120" s="184"/>
      <c r="H120" s="185"/>
      <c r="I120" s="185"/>
      <c r="J120" s="185"/>
      <c r="K120" s="185"/>
      <c r="L120" s="184"/>
      <c r="M120" s="184"/>
      <c r="N120" s="184"/>
      <c r="O120" s="184"/>
      <c r="P120" s="171"/>
      <c r="Q120" s="171"/>
      <c r="R120" s="6" t="s">
        <v>791</v>
      </c>
    </row>
    <row r="121" spans="1:53" ht="12" customHeight="1" x14ac:dyDescent="0.15">
      <c r="A121" s="6" t="s">
        <v>854</v>
      </c>
      <c r="B121" s="6" t="s">
        <v>1933</v>
      </c>
      <c r="C121" s="6" t="s">
        <v>1063</v>
      </c>
      <c r="D121" s="6" t="s">
        <v>1064</v>
      </c>
      <c r="F121" s="17">
        <v>39573</v>
      </c>
      <c r="G121" s="96"/>
      <c r="H121" s="103"/>
      <c r="I121" s="103"/>
      <c r="J121" s="103"/>
      <c r="K121" s="103"/>
      <c r="L121" s="96"/>
      <c r="M121" s="96"/>
      <c r="N121" s="96"/>
      <c r="O121" s="96"/>
      <c r="P121" s="149"/>
      <c r="Q121" s="149"/>
    </row>
    <row r="122" spans="1:53" ht="12" customHeight="1" x14ac:dyDescent="0.15">
      <c r="A122" s="6" t="s">
        <v>854</v>
      </c>
      <c r="B122" s="6" t="s">
        <v>1939</v>
      </c>
      <c r="C122" s="6" t="s">
        <v>665</v>
      </c>
      <c r="D122" s="6" t="s">
        <v>894</v>
      </c>
      <c r="F122" s="17">
        <v>39929</v>
      </c>
      <c r="G122" s="166"/>
      <c r="H122" s="104"/>
      <c r="I122" s="104"/>
      <c r="J122" s="104"/>
      <c r="K122" s="104"/>
      <c r="L122" s="166"/>
      <c r="M122" s="166"/>
      <c r="N122" s="166"/>
      <c r="O122" s="166"/>
      <c r="P122" s="149"/>
      <c r="Q122" s="149"/>
    </row>
    <row r="123" spans="1:53" ht="12" customHeight="1" x14ac:dyDescent="0.15">
      <c r="A123" s="6" t="s">
        <v>748</v>
      </c>
      <c r="C123" s="6" t="s">
        <v>742</v>
      </c>
      <c r="G123" s="96"/>
      <c r="H123" s="103"/>
      <c r="I123" s="103"/>
      <c r="J123" s="103"/>
      <c r="K123" s="103"/>
      <c r="L123" s="96"/>
      <c r="M123" s="96"/>
      <c r="N123" s="96"/>
      <c r="O123" s="96"/>
      <c r="P123" s="149"/>
      <c r="Q123" s="149"/>
      <c r="R123" s="6" t="s">
        <v>747</v>
      </c>
    </row>
    <row r="124" spans="1:53" ht="12" customHeight="1" x14ac:dyDescent="0.15">
      <c r="A124" s="6" t="s">
        <v>854</v>
      </c>
      <c r="B124" s="6" t="s">
        <v>1511</v>
      </c>
      <c r="C124" s="6" t="s">
        <v>544</v>
      </c>
      <c r="D124" s="6" t="s">
        <v>764</v>
      </c>
      <c r="F124" s="17">
        <v>39483</v>
      </c>
      <c r="G124" s="96"/>
      <c r="H124" s="103"/>
      <c r="I124" s="103"/>
      <c r="J124" s="103"/>
      <c r="K124" s="103"/>
      <c r="L124" s="96"/>
      <c r="M124" s="96"/>
      <c r="N124" s="96"/>
      <c r="O124" s="96"/>
      <c r="P124" s="149"/>
      <c r="Q124" s="149"/>
      <c r="R124" s="6" t="s">
        <v>946</v>
      </c>
    </row>
    <row r="125" spans="1:53" ht="12" customHeight="1" x14ac:dyDescent="0.15">
      <c r="B125" s="9"/>
      <c r="F125" s="71"/>
      <c r="G125" s="184"/>
      <c r="H125" s="185"/>
      <c r="I125" s="185"/>
      <c r="J125" s="185"/>
      <c r="K125" s="185"/>
      <c r="L125" s="184"/>
      <c r="M125" s="184"/>
      <c r="N125" s="184"/>
      <c r="O125" s="184"/>
      <c r="P125" s="171"/>
      <c r="Q125" s="171"/>
      <c r="R125" s="132"/>
    </row>
    <row r="126" spans="1:53" ht="12" customHeight="1" x14ac:dyDescent="0.15">
      <c r="G126" s="96"/>
      <c r="H126" s="103"/>
      <c r="I126" s="103"/>
      <c r="J126" s="103"/>
      <c r="K126" s="103"/>
      <c r="L126" s="96"/>
      <c r="M126" s="96"/>
      <c r="N126" s="96"/>
      <c r="O126" s="96"/>
      <c r="P126" s="149"/>
      <c r="Q126" s="149"/>
    </row>
    <row r="127" spans="1:53" ht="12" customHeight="1" x14ac:dyDescent="0.15">
      <c r="A127" s="135" t="s">
        <v>1660</v>
      </c>
      <c r="G127" s="96"/>
      <c r="H127" s="103"/>
      <c r="I127" s="103"/>
      <c r="J127" s="103"/>
      <c r="K127" s="103"/>
      <c r="L127" s="96"/>
      <c r="M127" s="96"/>
      <c r="N127" s="96"/>
      <c r="O127" s="96"/>
      <c r="P127" s="149"/>
      <c r="Q127" s="149"/>
    </row>
    <row r="128" spans="1:53" ht="12" customHeight="1" x14ac:dyDescent="0.15">
      <c r="G128" s="96"/>
      <c r="H128" s="103"/>
      <c r="I128" s="103"/>
      <c r="J128" s="103"/>
      <c r="K128" s="103"/>
      <c r="L128" s="96"/>
      <c r="M128" s="96"/>
      <c r="N128" s="96"/>
      <c r="O128" s="96"/>
      <c r="P128" s="149"/>
      <c r="Q128" s="149"/>
    </row>
    <row r="129" spans="7:17" ht="12" customHeight="1" x14ac:dyDescent="0.15">
      <c r="G129" s="96"/>
      <c r="H129" s="103"/>
      <c r="I129" s="103"/>
      <c r="J129" s="103"/>
      <c r="K129" s="103"/>
      <c r="L129" s="96"/>
      <c r="M129" s="96"/>
      <c r="N129" s="96"/>
      <c r="O129" s="96"/>
      <c r="P129" s="149"/>
      <c r="Q129" s="149"/>
    </row>
    <row r="130" spans="7:17" ht="12" customHeight="1" x14ac:dyDescent="0.15"/>
    <row r="131" spans="7:17" ht="12" customHeight="1" x14ac:dyDescent="0.15"/>
    <row r="132" spans="7:17" ht="12" customHeight="1" x14ac:dyDescent="0.15"/>
    <row r="133" spans="7:17" ht="12" customHeight="1" x14ac:dyDescent="0.15"/>
    <row r="134" spans="7:17" ht="12" customHeight="1" x14ac:dyDescent="0.15"/>
    <row r="135" spans="7:17" ht="12" customHeight="1" x14ac:dyDescent="0.15"/>
    <row r="136" spans="7:17" ht="12" customHeight="1" x14ac:dyDescent="0.15"/>
    <row r="137" spans="7:17" ht="12" customHeight="1" x14ac:dyDescent="0.15"/>
    <row r="138" spans="7:17" ht="12" customHeight="1" x14ac:dyDescent="0.15"/>
    <row r="139" spans="7:17" ht="12" customHeight="1" x14ac:dyDescent="0.15"/>
    <row r="140" spans="7:17" ht="12" customHeight="1" x14ac:dyDescent="0.15"/>
    <row r="141" spans="7:17" ht="12" customHeight="1" x14ac:dyDescent="0.15"/>
    <row r="142" spans="7:17" ht="12" customHeight="1" x14ac:dyDescent="0.15"/>
    <row r="143" spans="7:17" ht="12" customHeight="1" x14ac:dyDescent="0.15"/>
  </sheetData>
  <sortState ref="A65:AQ85">
    <sortCondition ref="A65:A85"/>
  </sortState>
  <phoneticPr fontId="2" type="noConversion"/>
  <pageMargins left="0.75" right="0.75" top="1" bottom="1" header="0.5" footer="0.5"/>
  <pageSetup orientation="portrait"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17"/>
  <sheetViews>
    <sheetView workbookViewId="0">
      <pane ySplit="3" topLeftCell="A4" activePane="bottomLeft" state="frozen"/>
      <selection pane="bottomLeft" activeCell="L13" sqref="L13"/>
    </sheetView>
  </sheetViews>
  <sheetFormatPr baseColWidth="10" defaultColWidth="9.1640625" defaultRowHeight="12" x14ac:dyDescent="0.15"/>
  <cols>
    <col min="1" max="1" width="19.83203125" style="6" customWidth="1"/>
    <col min="2" max="2" width="12.83203125" style="6" customWidth="1"/>
    <col min="3" max="3" width="23.33203125" style="6" customWidth="1"/>
    <col min="4" max="5" width="17.1640625" style="6" customWidth="1"/>
    <col min="6" max="6" width="11" style="101" customWidth="1"/>
    <col min="7" max="7" width="10.33203125" style="102" customWidth="1"/>
    <col min="8" max="8" width="4.83203125" style="75" customWidth="1"/>
    <col min="9" max="9" width="4.5" style="75" customWidth="1"/>
    <col min="10" max="11" width="3.5" style="75" customWidth="1"/>
    <col min="12" max="12" width="14.33203125" style="102" customWidth="1"/>
    <col min="13" max="13" width="10" style="102" customWidth="1"/>
    <col min="14" max="15" width="5.33203125" style="102" customWidth="1"/>
    <col min="16" max="16" width="14.6640625" style="75" customWidth="1"/>
    <col min="17" max="17" width="11.6640625" style="75" customWidth="1"/>
    <col min="18" max="18" width="9.1640625" style="6"/>
    <col min="19" max="19" width="2.6640625" style="13" customWidth="1"/>
    <col min="20" max="20" width="9.1640625" style="13"/>
    <col min="21" max="21" width="11.5" style="13" customWidth="1"/>
    <col min="22" max="22" width="9.1640625" style="13"/>
    <col min="23" max="23" width="2.6640625" style="13" customWidth="1"/>
    <col min="24" max="52" width="9.1640625" style="13"/>
    <col min="53" max="53" width="9.1640625" style="14"/>
    <col min="54" max="16384" width="9.1640625" style="13"/>
  </cols>
  <sheetData>
    <row r="1" spans="1:53" ht="12" customHeight="1" x14ac:dyDescent="0.15">
      <c r="A1" s="6" t="s">
        <v>1949</v>
      </c>
    </row>
    <row r="2" spans="1:53" ht="12" customHeight="1" x14ac:dyDescent="0.15">
      <c r="A2" s="72"/>
      <c r="F2" s="73"/>
      <c r="G2" s="74" t="s">
        <v>436</v>
      </c>
      <c r="K2" s="76"/>
      <c r="L2" s="38" t="s">
        <v>624</v>
      </c>
      <c r="M2" s="38"/>
      <c r="N2" s="38"/>
      <c r="O2" s="38"/>
      <c r="P2" s="7"/>
      <c r="Q2" s="7"/>
      <c r="T2" s="38"/>
      <c r="AB2" s="77"/>
    </row>
    <row r="3" spans="1:53" s="84" customFormat="1" ht="44" customHeight="1" thickBot="1" x14ac:dyDescent="0.2">
      <c r="A3" s="78" t="s">
        <v>720</v>
      </c>
      <c r="B3" s="78" t="s">
        <v>710</v>
      </c>
      <c r="C3" s="78" t="s">
        <v>844</v>
      </c>
      <c r="D3" s="78" t="s">
        <v>670</v>
      </c>
      <c r="E3" s="78" t="s">
        <v>310</v>
      </c>
      <c r="F3" s="79" t="s">
        <v>845</v>
      </c>
      <c r="G3" s="80" t="s">
        <v>635</v>
      </c>
      <c r="H3" s="81" t="s">
        <v>392</v>
      </c>
      <c r="I3" s="81" t="s">
        <v>393</v>
      </c>
      <c r="J3" s="81" t="s">
        <v>394</v>
      </c>
      <c r="K3" s="81" t="s">
        <v>395</v>
      </c>
      <c r="L3" s="80" t="s">
        <v>647</v>
      </c>
      <c r="M3" s="80" t="s">
        <v>1977</v>
      </c>
      <c r="N3" s="190" t="s">
        <v>2301</v>
      </c>
      <c r="O3" s="190" t="s">
        <v>2302</v>
      </c>
      <c r="P3" s="81" t="s">
        <v>120</v>
      </c>
      <c r="Q3" s="81" t="s">
        <v>1263</v>
      </c>
      <c r="R3" s="78" t="s">
        <v>669</v>
      </c>
      <c r="S3" s="162"/>
      <c r="T3" s="162"/>
      <c r="BA3" s="163"/>
    </row>
    <row r="4" spans="1:53" s="140" customFormat="1" ht="12" customHeight="1" thickTop="1" x14ac:dyDescent="0.15">
      <c r="A4" s="58" t="s">
        <v>1381</v>
      </c>
      <c r="B4" s="58" t="s">
        <v>713</v>
      </c>
      <c r="C4" s="58" t="s">
        <v>400</v>
      </c>
      <c r="D4" s="58" t="s">
        <v>495</v>
      </c>
      <c r="E4" s="58" t="s">
        <v>1367</v>
      </c>
      <c r="F4" s="137">
        <v>39899</v>
      </c>
      <c r="G4" s="138">
        <v>5700</v>
      </c>
      <c r="H4" s="139">
        <v>60</v>
      </c>
      <c r="I4" s="139">
        <v>4</v>
      </c>
      <c r="J4" s="139">
        <v>8</v>
      </c>
      <c r="K4" s="139">
        <v>5</v>
      </c>
      <c r="L4" s="138">
        <f>32855+3969+395+395+91+240+200+325+2000+200+750+123+105+123+660+126+250+200+250+250+0+3654+66+445</f>
        <v>47672</v>
      </c>
      <c r="M4" s="138">
        <f>L4/H4</f>
        <v>794.5333333333333</v>
      </c>
      <c r="N4" s="330">
        <f>I4/H4</f>
        <v>6.6666666666666666E-2</v>
      </c>
      <c r="O4" s="330">
        <f>SUM(I4:K4)/H4</f>
        <v>0.28333333333333333</v>
      </c>
      <c r="P4" s="56" t="s">
        <v>5669</v>
      </c>
      <c r="Q4" s="56" t="s">
        <v>3413</v>
      </c>
      <c r="R4" s="139" t="s">
        <v>2464</v>
      </c>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BA4" s="141">
        <f>IF(I4="","",IF(I4=0,0,1))</f>
        <v>1</v>
      </c>
    </row>
    <row r="5" spans="1:53" s="140" customFormat="1" ht="12" customHeight="1" x14ac:dyDescent="0.15">
      <c r="A5" s="58" t="s">
        <v>122</v>
      </c>
      <c r="B5" s="58" t="s">
        <v>1763</v>
      </c>
      <c r="C5" s="58" t="s">
        <v>374</v>
      </c>
      <c r="D5" s="58" t="s">
        <v>583</v>
      </c>
      <c r="E5" s="58" t="s">
        <v>1430</v>
      </c>
      <c r="F5" s="137">
        <v>39904</v>
      </c>
      <c r="G5" s="138">
        <v>42000</v>
      </c>
      <c r="H5" s="139">
        <v>55</v>
      </c>
      <c r="I5" s="139">
        <v>12</v>
      </c>
      <c r="J5" s="139">
        <v>12</v>
      </c>
      <c r="K5" s="139">
        <v>5</v>
      </c>
      <c r="L5" s="138">
        <f>330373+0+5440+816+1500</f>
        <v>338129</v>
      </c>
      <c r="M5" s="138">
        <f t="shared" ref="M5:M12" si="0">L5/H5</f>
        <v>6147.8</v>
      </c>
      <c r="N5" s="330">
        <f t="shared" ref="N5:N12" si="1">I5/H5</f>
        <v>0.21818181818181817</v>
      </c>
      <c r="O5" s="330">
        <f t="shared" ref="O5:O12" si="2">SUM(I5:K5)/H5</f>
        <v>0.52727272727272723</v>
      </c>
      <c r="P5" s="56" t="s">
        <v>5641</v>
      </c>
      <c r="Q5" s="56" t="s">
        <v>1309</v>
      </c>
      <c r="R5" s="139" t="s">
        <v>125</v>
      </c>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BA5" s="141">
        <f t="shared" ref="BA5:BA18" si="3">IF(I5="","",IF(I5=0,0,1))</f>
        <v>1</v>
      </c>
    </row>
    <row r="6" spans="1:53" s="140" customFormat="1" ht="12" customHeight="1" x14ac:dyDescent="0.15">
      <c r="A6" s="58" t="s">
        <v>1531</v>
      </c>
      <c r="B6" s="58" t="s">
        <v>111</v>
      </c>
      <c r="C6" s="58" t="s">
        <v>428</v>
      </c>
      <c r="D6" s="58" t="s">
        <v>1192</v>
      </c>
      <c r="E6" s="58" t="s">
        <v>1433</v>
      </c>
      <c r="F6" s="137">
        <v>39848</v>
      </c>
      <c r="G6" s="138">
        <v>2000</v>
      </c>
      <c r="H6" s="139">
        <v>30</v>
      </c>
      <c r="I6" s="139">
        <v>4</v>
      </c>
      <c r="J6" s="139">
        <v>4</v>
      </c>
      <c r="K6" s="139">
        <v>4</v>
      </c>
      <c r="L6" s="138">
        <f>3800+970+4779+1300+222+5040+1720+1720+5160+89+89+1780+5820+1940+164+174+405+330+700+275+63+126+63+63+63+63</f>
        <v>36918</v>
      </c>
      <c r="M6" s="138">
        <f>L6/H6</f>
        <v>1230.5999999999999</v>
      </c>
      <c r="N6" s="330">
        <f>I6/H6</f>
        <v>0.13333333333333333</v>
      </c>
      <c r="O6" s="330">
        <f>SUM(I6:K6)/H6</f>
        <v>0.4</v>
      </c>
      <c r="P6" s="56" t="s">
        <v>5669</v>
      </c>
      <c r="Q6" s="56" t="s">
        <v>162</v>
      </c>
      <c r="R6" s="139" t="s">
        <v>1345</v>
      </c>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BA6" s="141">
        <f>IF(I6="","",IF(I6=0,0,1))</f>
        <v>1</v>
      </c>
    </row>
    <row r="7" spans="1:53" s="140" customFormat="1" ht="12" customHeight="1" x14ac:dyDescent="0.15">
      <c r="A7" s="58" t="s">
        <v>57</v>
      </c>
      <c r="B7" s="58" t="s">
        <v>713</v>
      </c>
      <c r="C7" s="58" t="s">
        <v>421</v>
      </c>
      <c r="D7" s="58" t="s">
        <v>725</v>
      </c>
      <c r="E7" s="58" t="s">
        <v>233</v>
      </c>
      <c r="F7" s="137">
        <v>39859</v>
      </c>
      <c r="G7" s="138">
        <v>10000</v>
      </c>
      <c r="H7" s="139">
        <v>35</v>
      </c>
      <c r="I7" s="139">
        <v>9</v>
      </c>
      <c r="J7" s="139">
        <v>3</v>
      </c>
      <c r="K7" s="139">
        <v>5</v>
      </c>
      <c r="L7" s="138">
        <f>173740+1980+0</f>
        <v>175720</v>
      </c>
      <c r="M7" s="138">
        <f>L7/H7</f>
        <v>5020.5714285714284</v>
      </c>
      <c r="N7" s="330">
        <f>I7/H7</f>
        <v>0.25714285714285712</v>
      </c>
      <c r="O7" s="330">
        <f>SUM(I7:K7)/H7</f>
        <v>0.48571428571428571</v>
      </c>
      <c r="P7" s="56" t="s">
        <v>5663</v>
      </c>
      <c r="Q7" s="56" t="s">
        <v>1270</v>
      </c>
      <c r="R7" s="139" t="s">
        <v>5255</v>
      </c>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BA7" s="141">
        <f>IF(I7="","",IF(I7=0,0,1))</f>
        <v>1</v>
      </c>
    </row>
    <row r="8" spans="1:53" s="140" customFormat="1" ht="12" customHeight="1" x14ac:dyDescent="0.15">
      <c r="A8" s="58" t="s">
        <v>58</v>
      </c>
      <c r="B8" s="58" t="s">
        <v>713</v>
      </c>
      <c r="C8" s="58" t="s">
        <v>1168</v>
      </c>
      <c r="D8" s="58" t="s">
        <v>1170</v>
      </c>
      <c r="E8" s="58" t="s">
        <v>1357</v>
      </c>
      <c r="F8" s="137">
        <v>39908</v>
      </c>
      <c r="G8" s="138">
        <v>70000</v>
      </c>
      <c r="H8" s="139">
        <v>17</v>
      </c>
      <c r="I8" s="139">
        <v>4</v>
      </c>
      <c r="J8" s="139">
        <v>2</v>
      </c>
      <c r="K8" s="139">
        <v>3</v>
      </c>
      <c r="L8" s="138">
        <f>7980+21600+22800+13300+25650+60000+10000+10000+5000+440+700+1200+500+750+500+1500+500</f>
        <v>182420</v>
      </c>
      <c r="M8" s="138">
        <f t="shared" si="0"/>
        <v>10730.588235294117</v>
      </c>
      <c r="N8" s="330">
        <f t="shared" si="1"/>
        <v>0.23529411764705882</v>
      </c>
      <c r="O8" s="330">
        <f t="shared" si="2"/>
        <v>0.52941176470588236</v>
      </c>
      <c r="P8" s="56" t="s">
        <v>5167</v>
      </c>
      <c r="Q8" s="56" t="s">
        <v>1835</v>
      </c>
      <c r="R8" s="139" t="s">
        <v>1402</v>
      </c>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BA8" s="141">
        <f t="shared" si="3"/>
        <v>1</v>
      </c>
    </row>
    <row r="9" spans="1:53" s="140" customFormat="1" ht="12" customHeight="1" x14ac:dyDescent="0.15">
      <c r="A9" s="58" t="s">
        <v>121</v>
      </c>
      <c r="B9" s="58" t="s">
        <v>713</v>
      </c>
      <c r="C9" s="58" t="s">
        <v>372</v>
      </c>
      <c r="D9" s="58" t="s">
        <v>373</v>
      </c>
      <c r="E9" s="58" t="s">
        <v>1369</v>
      </c>
      <c r="F9" s="137">
        <v>39884</v>
      </c>
      <c r="G9" s="138"/>
      <c r="H9" s="139">
        <v>44</v>
      </c>
      <c r="I9" s="139">
        <v>4</v>
      </c>
      <c r="J9" s="139">
        <v>6</v>
      </c>
      <c r="K9" s="139">
        <v>3</v>
      </c>
      <c r="L9" s="138">
        <f>12006+3600+1500+18000+128+960+100+900+690+4600+2970+270+3240+3600+700+725+435+405+3420+190+2800+6600+7800+630+900+9000+0+0+0+100+100+100+279+435+0+0+0</f>
        <v>87183</v>
      </c>
      <c r="M9" s="138">
        <f>L9/H9</f>
        <v>1981.4318181818182</v>
      </c>
      <c r="N9" s="330">
        <f>I9/H9</f>
        <v>9.0909090909090912E-2</v>
      </c>
      <c r="O9" s="330">
        <f>SUM(I9:K9)/H9</f>
        <v>0.29545454545454547</v>
      </c>
      <c r="P9" s="56" t="s">
        <v>5409</v>
      </c>
      <c r="Q9" s="56" t="s">
        <v>2005</v>
      </c>
      <c r="R9" s="139" t="s">
        <v>1090</v>
      </c>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BA9" s="141">
        <f>IF(I9="","",IF(I9=0,0,1))</f>
        <v>1</v>
      </c>
    </row>
    <row r="10" spans="1:53" s="140" customFormat="1" ht="12" customHeight="1" x14ac:dyDescent="0.15">
      <c r="A10" s="58" t="s">
        <v>1294</v>
      </c>
      <c r="B10" s="58" t="s">
        <v>713</v>
      </c>
      <c r="C10" s="58" t="s">
        <v>1160</v>
      </c>
      <c r="D10" s="58" t="s">
        <v>1043</v>
      </c>
      <c r="E10" s="58" t="s">
        <v>1370</v>
      </c>
      <c r="F10" s="137">
        <v>39933</v>
      </c>
      <c r="G10" s="138">
        <v>12000</v>
      </c>
      <c r="H10" s="139">
        <v>28</v>
      </c>
      <c r="I10" s="139">
        <v>4</v>
      </c>
      <c r="J10" s="139">
        <v>4</v>
      </c>
      <c r="K10" s="139">
        <v>3</v>
      </c>
      <c r="L10" s="138">
        <f>116749+21000+700+6000+0+0+220</f>
        <v>144669</v>
      </c>
      <c r="M10" s="138">
        <f>L10/H10</f>
        <v>5166.75</v>
      </c>
      <c r="N10" s="330">
        <f>I10/H10</f>
        <v>0.14285714285714285</v>
      </c>
      <c r="O10" s="330">
        <f>SUM(I10:K10)/H10</f>
        <v>0.39285714285714285</v>
      </c>
      <c r="P10" s="56" t="s">
        <v>5661</v>
      </c>
      <c r="Q10" s="56" t="s">
        <v>1462</v>
      </c>
      <c r="R10" s="139" t="s">
        <v>4134</v>
      </c>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BA10" s="141">
        <f>IF(I10="","",IF(I10=0,0,1))</f>
        <v>1</v>
      </c>
    </row>
    <row r="11" spans="1:53" s="140" customFormat="1" ht="12" customHeight="1" x14ac:dyDescent="0.15">
      <c r="A11" s="58" t="s">
        <v>1295</v>
      </c>
      <c r="B11" s="58" t="s">
        <v>1659</v>
      </c>
      <c r="C11" s="58" t="s">
        <v>413</v>
      </c>
      <c r="D11" s="58" t="s">
        <v>562</v>
      </c>
      <c r="E11" s="58" t="s">
        <v>646</v>
      </c>
      <c r="F11" s="137">
        <v>39882</v>
      </c>
      <c r="G11" s="138"/>
      <c r="H11" s="139">
        <v>41</v>
      </c>
      <c r="I11" s="139">
        <v>9</v>
      </c>
      <c r="J11" s="139">
        <v>5</v>
      </c>
      <c r="K11" s="139">
        <v>4</v>
      </c>
      <c r="L11" s="138">
        <f>342770+250+105+250+1300+30000+12000+45000+4000+54000+60605+4230+4500+1500+24000+3100+10000+1800</f>
        <v>599410</v>
      </c>
      <c r="M11" s="138">
        <f>L11/H11</f>
        <v>14619.756097560976</v>
      </c>
      <c r="N11" s="330">
        <f>I11/H11</f>
        <v>0.21951219512195122</v>
      </c>
      <c r="O11" s="330">
        <f>SUM(I11:K11)/H11</f>
        <v>0.43902439024390244</v>
      </c>
      <c r="P11" s="56" t="s">
        <v>5650</v>
      </c>
      <c r="Q11" s="56" t="s">
        <v>1809</v>
      </c>
      <c r="R11" s="139" t="s">
        <v>5547</v>
      </c>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BA11" s="141">
        <f>IF(I11="","",IF(I11=0,0,1))</f>
        <v>1</v>
      </c>
    </row>
    <row r="12" spans="1:53" s="140" customFormat="1" ht="12" customHeight="1" x14ac:dyDescent="0.15">
      <c r="A12" s="58" t="s">
        <v>1557</v>
      </c>
      <c r="B12" s="58" t="s">
        <v>111</v>
      </c>
      <c r="C12" s="58" t="s">
        <v>1053</v>
      </c>
      <c r="D12" s="58" t="s">
        <v>1054</v>
      </c>
      <c r="E12" s="58" t="s">
        <v>1349</v>
      </c>
      <c r="F12" s="137">
        <v>39887</v>
      </c>
      <c r="G12" s="138">
        <v>4000</v>
      </c>
      <c r="H12" s="139">
        <v>53</v>
      </c>
      <c r="I12" s="139">
        <v>9</v>
      </c>
      <c r="J12" s="139">
        <v>8</v>
      </c>
      <c r="K12" s="139">
        <v>8</v>
      </c>
      <c r="L12" s="138">
        <f>38129+372+2940+1720+1770+3640+1248+6480+1397+100+100+85+6747+513+17751+1830+2450+6600+6650+1350+7320+11880+3160+100+1020+4740+1380+1700+207+300+595+324+6480+324+0</f>
        <v>141402</v>
      </c>
      <c r="M12" s="138">
        <f t="shared" si="0"/>
        <v>2667.9622641509436</v>
      </c>
      <c r="N12" s="330">
        <f t="shared" si="1"/>
        <v>0.16981132075471697</v>
      </c>
      <c r="O12" s="330">
        <f t="shared" si="2"/>
        <v>0.47169811320754718</v>
      </c>
      <c r="P12" s="56" t="s">
        <v>5590</v>
      </c>
      <c r="Q12" s="56" t="s">
        <v>3296</v>
      </c>
      <c r="R12" s="139" t="s">
        <v>47</v>
      </c>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BA12" s="141">
        <f t="shared" si="3"/>
        <v>1</v>
      </c>
    </row>
    <row r="13" spans="1:53" s="140" customFormat="1" ht="12" customHeight="1" x14ac:dyDescent="0.15">
      <c r="A13" s="58" t="s">
        <v>1529</v>
      </c>
      <c r="B13" s="58" t="s">
        <v>130</v>
      </c>
      <c r="C13" s="58" t="s">
        <v>507</v>
      </c>
      <c r="D13" s="58" t="s">
        <v>945</v>
      </c>
      <c r="E13" s="58" t="s">
        <v>1390</v>
      </c>
      <c r="F13" s="137">
        <v>39938</v>
      </c>
      <c r="G13" s="138"/>
      <c r="H13" s="139">
        <v>57</v>
      </c>
      <c r="I13" s="139">
        <v>9</v>
      </c>
      <c r="J13" s="139">
        <v>9</v>
      </c>
      <c r="K13" s="139">
        <v>8</v>
      </c>
      <c r="L13" s="138">
        <f>5000+28800+3000+25200+434+236+320+24600+6400+5600+12200+11200+36600+2010+3350+1530+2460+435+370+13800+2550+9600+3350+670+2350+2000+5000+200+696+1020+408+612+9000+900+125+2000+2000+2000+5000+4700+400+750+5000+167+15000+167+15000+9400+750+28200+1180+1500+9400+2900+28200+5500+0</f>
        <v>361240</v>
      </c>
      <c r="M13" s="138">
        <f>L13/H13</f>
        <v>6337.5438596491231</v>
      </c>
      <c r="N13" s="330">
        <f>I13/H13</f>
        <v>0.15789473684210525</v>
      </c>
      <c r="O13" s="330">
        <f>SUM(I13:K13)/H13</f>
        <v>0.45614035087719296</v>
      </c>
      <c r="P13" s="56" t="s">
        <v>5741</v>
      </c>
      <c r="Q13" s="56" t="s">
        <v>1270</v>
      </c>
      <c r="R13" s="139" t="s">
        <v>5541</v>
      </c>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BA13" s="141">
        <f>IF(I13="","",IF(I13=0,0,1))</f>
        <v>1</v>
      </c>
    </row>
    <row r="14" spans="1:53" s="90" customFormat="1" ht="12" customHeight="1" x14ac:dyDescent="0.15">
      <c r="A14" s="142" t="s">
        <v>56</v>
      </c>
      <c r="B14" s="142" t="s">
        <v>2140</v>
      </c>
      <c r="C14" s="142" t="s">
        <v>381</v>
      </c>
      <c r="D14" s="142" t="s">
        <v>792</v>
      </c>
      <c r="E14" s="142" t="s">
        <v>1407</v>
      </c>
      <c r="F14" s="143">
        <v>39871</v>
      </c>
      <c r="G14" s="144">
        <v>25000</v>
      </c>
      <c r="H14" s="145">
        <v>5</v>
      </c>
      <c r="I14" s="145">
        <v>0</v>
      </c>
      <c r="J14" s="145">
        <v>2</v>
      </c>
      <c r="K14" s="145">
        <v>0</v>
      </c>
      <c r="L14" s="144">
        <f>2280+7600+1200+7600+0</f>
        <v>18680</v>
      </c>
      <c r="M14" s="144">
        <f>L14/H14</f>
        <v>3736</v>
      </c>
      <c r="N14" s="331">
        <f>I14/H14</f>
        <v>0</v>
      </c>
      <c r="O14" s="331">
        <f>SUM(I14:K14)/H14</f>
        <v>0.4</v>
      </c>
      <c r="P14" s="147" t="s">
        <v>5591</v>
      </c>
      <c r="Q14" s="147" t="s">
        <v>1462</v>
      </c>
      <c r="R14" s="142" t="s">
        <v>1319</v>
      </c>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BA14" s="141">
        <f>IF(I14="","",IF(I14=0,0,1))</f>
        <v>0</v>
      </c>
    </row>
    <row r="15" spans="1:53" ht="12" customHeight="1" x14ac:dyDescent="0.15">
      <c r="F15" s="109"/>
      <c r="G15" s="14"/>
      <c r="H15" s="6"/>
      <c r="I15" s="6"/>
      <c r="J15" s="6"/>
      <c r="K15" s="6"/>
      <c r="BA15" s="141" t="str">
        <f t="shared" si="3"/>
        <v/>
      </c>
    </row>
    <row r="16" spans="1:53" ht="12" customHeight="1" x14ac:dyDescent="0.15">
      <c r="A16" s="110" t="s">
        <v>417</v>
      </c>
      <c r="F16" s="85"/>
      <c r="G16" s="86"/>
      <c r="H16" s="87"/>
      <c r="I16" s="87"/>
      <c r="J16" s="87"/>
      <c r="K16" s="87"/>
      <c r="L16" s="14"/>
      <c r="M16" s="14"/>
      <c r="N16" s="14"/>
      <c r="O16" s="14"/>
      <c r="P16" s="7"/>
      <c r="Q16" s="7"/>
      <c r="BA16" s="141" t="str">
        <f t="shared" si="3"/>
        <v/>
      </c>
    </row>
    <row r="17" spans="1:53" ht="12" customHeight="1" x14ac:dyDescent="0.15">
      <c r="F17" s="107"/>
      <c r="G17" s="108"/>
      <c r="H17" s="134"/>
      <c r="I17" s="134"/>
      <c r="J17" s="134"/>
      <c r="K17" s="134"/>
      <c r="BA17" s="141" t="str">
        <f t="shared" si="3"/>
        <v/>
      </c>
    </row>
    <row r="18" spans="1:53" s="112" customFormat="1" ht="12" customHeight="1" x14ac:dyDescent="0.15">
      <c r="A18" s="110" t="s">
        <v>1699</v>
      </c>
      <c r="B18" s="110"/>
      <c r="C18" s="110"/>
      <c r="D18" s="110"/>
      <c r="E18" s="110"/>
      <c r="F18" s="85"/>
      <c r="G18" s="86"/>
      <c r="H18" s="87"/>
      <c r="I18" s="87"/>
      <c r="J18" s="87"/>
      <c r="K18" s="87"/>
      <c r="L18" s="108"/>
      <c r="M18" s="108"/>
      <c r="N18" s="108"/>
      <c r="O18" s="108"/>
      <c r="P18" s="134"/>
      <c r="Q18" s="134"/>
      <c r="R18" s="110"/>
      <c r="BA18" s="141" t="str">
        <f t="shared" si="3"/>
        <v/>
      </c>
    </row>
    <row r="19" spans="1:53" s="140" customFormat="1" ht="12" customHeight="1" x14ac:dyDescent="0.15">
      <c r="A19" s="58" t="s">
        <v>1539</v>
      </c>
      <c r="B19" s="58" t="s">
        <v>1511</v>
      </c>
      <c r="C19" s="58" t="s">
        <v>1151</v>
      </c>
      <c r="D19" s="58" t="s">
        <v>562</v>
      </c>
      <c r="E19" s="58" t="s">
        <v>1364</v>
      </c>
      <c r="F19" s="137">
        <v>39869</v>
      </c>
      <c r="G19" s="138">
        <v>16000</v>
      </c>
      <c r="H19" s="139">
        <v>22</v>
      </c>
      <c r="I19" s="139">
        <v>5</v>
      </c>
      <c r="J19" s="139">
        <v>3</v>
      </c>
      <c r="K19" s="139">
        <v>3</v>
      </c>
      <c r="L19" s="138">
        <f>2040+3060+15000+9976+1300+330+1320+220+3570+10030+215+1900+1080+3400+220+9600+3200+9600+1550+930+500+500</f>
        <v>79541</v>
      </c>
      <c r="M19" s="138">
        <f>L19/H19</f>
        <v>3615.5</v>
      </c>
      <c r="N19" s="330">
        <f>I19/H19</f>
        <v>0.22727272727272727</v>
      </c>
      <c r="O19" s="330">
        <f>SUM(I19:K19)/H19</f>
        <v>0.5</v>
      </c>
      <c r="P19" s="56" t="s">
        <v>5018</v>
      </c>
      <c r="Q19" s="56" t="s">
        <v>1835</v>
      </c>
      <c r="R19" s="139" t="s">
        <v>2229</v>
      </c>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BA19" s="141">
        <f>IF(I19="","",IF(I19=0,0,1))</f>
        <v>1</v>
      </c>
    </row>
    <row r="20" spans="1:53" s="140" customFormat="1" ht="12" customHeight="1" x14ac:dyDescent="0.15">
      <c r="A20" s="58" t="s">
        <v>54</v>
      </c>
      <c r="B20" s="58" t="s">
        <v>969</v>
      </c>
      <c r="C20" s="58" t="s">
        <v>146</v>
      </c>
      <c r="D20" s="58" t="s">
        <v>824</v>
      </c>
      <c r="E20" s="58" t="s">
        <v>119</v>
      </c>
      <c r="F20" s="137">
        <v>39927</v>
      </c>
      <c r="G20" s="138">
        <v>45000</v>
      </c>
      <c r="H20" s="139">
        <v>33</v>
      </c>
      <c r="I20" s="139">
        <v>12</v>
      </c>
      <c r="J20" s="139">
        <v>8</v>
      </c>
      <c r="K20" s="139">
        <v>6</v>
      </c>
      <c r="L20" s="138">
        <f>564243+7500+45000+4242+16500+6600+60000+33000+100170+5000+22000+16500+31500+6090+10000+6050+6600</f>
        <v>940995</v>
      </c>
      <c r="M20" s="138">
        <f>L20/H20</f>
        <v>28515</v>
      </c>
      <c r="N20" s="330">
        <f>I20/H20</f>
        <v>0.36363636363636365</v>
      </c>
      <c r="O20" s="330">
        <f>SUM(I20:K20)/H20</f>
        <v>0.78787878787878785</v>
      </c>
      <c r="P20" s="56" t="s">
        <v>5221</v>
      </c>
      <c r="Q20" s="56" t="s">
        <v>2463</v>
      </c>
      <c r="R20" s="139" t="s">
        <v>2016</v>
      </c>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BA20" s="141">
        <f>IF(I20="","",IF(I20=0,0,1))</f>
        <v>1</v>
      </c>
    </row>
    <row r="21" spans="1:53" ht="12" customHeight="1" x14ac:dyDescent="0.15">
      <c r="L21" s="136"/>
      <c r="M21" s="136"/>
      <c r="N21" s="136"/>
      <c r="O21" s="136"/>
      <c r="P21" s="7"/>
      <c r="Q21" s="7"/>
      <c r="BA21" s="14" t="str">
        <f>IF(I21="","",IF(I21&gt;0,1,0))</f>
        <v/>
      </c>
    </row>
    <row r="22" spans="1:53" s="112" customFormat="1" ht="12" customHeight="1" x14ac:dyDescent="0.15">
      <c r="A22" s="110" t="s">
        <v>1698</v>
      </c>
      <c r="B22" s="110"/>
      <c r="C22" s="110"/>
      <c r="D22" s="110"/>
      <c r="E22" s="110"/>
      <c r="F22" s="107"/>
      <c r="G22" s="108"/>
      <c r="H22" s="134"/>
      <c r="I22" s="134"/>
      <c r="J22" s="134"/>
      <c r="K22" s="134"/>
      <c r="L22" s="168"/>
      <c r="M22" s="168"/>
      <c r="N22" s="168"/>
      <c r="O22" s="168"/>
      <c r="P22" s="159"/>
      <c r="Q22" s="159"/>
      <c r="R22" s="110"/>
      <c r="BA22" s="111" t="str">
        <f>IF(I22="","",IF(I22&gt;0,1,0))</f>
        <v/>
      </c>
    </row>
    <row r="23" spans="1:53" s="140" customFormat="1" ht="12" customHeight="1" x14ac:dyDescent="0.15">
      <c r="A23" s="58" t="s">
        <v>72</v>
      </c>
      <c r="B23" s="58" t="s">
        <v>1807</v>
      </c>
      <c r="C23" s="58" t="s">
        <v>422</v>
      </c>
      <c r="D23" s="58" t="s">
        <v>423</v>
      </c>
      <c r="E23" s="58" t="s">
        <v>293</v>
      </c>
      <c r="F23" s="137">
        <v>39861</v>
      </c>
      <c r="G23" s="138"/>
      <c r="H23" s="139">
        <v>28</v>
      </c>
      <c r="I23" s="139">
        <v>6</v>
      </c>
      <c r="J23" s="139">
        <v>3</v>
      </c>
      <c r="K23" s="139">
        <v>5</v>
      </c>
      <c r="L23" s="138">
        <f>101948+3894+420+3894+3900+1550+4800+885+1086</f>
        <v>122377</v>
      </c>
      <c r="M23" s="138">
        <f>L23/H23</f>
        <v>4370.6071428571431</v>
      </c>
      <c r="N23" s="330">
        <f>I23/H23</f>
        <v>0.21428571428571427</v>
      </c>
      <c r="O23" s="330">
        <f>SUM(I23:K23)/H23</f>
        <v>0.5</v>
      </c>
      <c r="P23" s="56" t="s">
        <v>3634</v>
      </c>
      <c r="Q23" s="56" t="s">
        <v>1778</v>
      </c>
      <c r="R23" s="139" t="s">
        <v>1161</v>
      </c>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BA23" s="141">
        <f>IF(I23="","",IF(I23=0,0,1))</f>
        <v>1</v>
      </c>
    </row>
    <row r="24" spans="1:53" s="140" customFormat="1" ht="12" customHeight="1" x14ac:dyDescent="0.15">
      <c r="A24" s="58" t="s">
        <v>1558</v>
      </c>
      <c r="B24" s="58" t="s">
        <v>969</v>
      </c>
      <c r="C24" s="58" t="s">
        <v>1184</v>
      </c>
      <c r="D24" s="58" t="s">
        <v>1185</v>
      </c>
      <c r="E24" s="58" t="s">
        <v>1352</v>
      </c>
      <c r="F24" s="137">
        <v>39846</v>
      </c>
      <c r="G24" s="138">
        <v>60000</v>
      </c>
      <c r="H24" s="139">
        <v>24</v>
      </c>
      <c r="I24" s="139">
        <v>6</v>
      </c>
      <c r="J24" s="139">
        <v>5</v>
      </c>
      <c r="K24" s="139">
        <v>3</v>
      </c>
      <c r="L24" s="138">
        <f>200+8400+11400+560+140+6600+10400+10400+870+1140+8300+4025+240+31200+5400+11000+120000+20000+120000+833+1667+2000+3000+3740</f>
        <v>381515</v>
      </c>
      <c r="M24" s="138">
        <f>L24/H24</f>
        <v>15896.458333333334</v>
      </c>
      <c r="N24" s="330">
        <f>I24/H24</f>
        <v>0.25</v>
      </c>
      <c r="O24" s="330">
        <f>SUM(I24:K24)/H24</f>
        <v>0.58333333333333337</v>
      </c>
      <c r="P24" s="56" t="s">
        <v>4339</v>
      </c>
      <c r="Q24" s="56" t="s">
        <v>1777</v>
      </c>
      <c r="R24" s="139" t="s">
        <v>1548</v>
      </c>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BA24" s="141">
        <f>IF(I24="","",IF(I24=0,0,1))</f>
        <v>1</v>
      </c>
    </row>
    <row r="25" spans="1:53" ht="12" customHeight="1" x14ac:dyDescent="0.15">
      <c r="G25" s="166"/>
      <c r="H25" s="104"/>
      <c r="I25" s="104"/>
      <c r="J25" s="104"/>
      <c r="K25" s="104"/>
      <c r="L25" s="166"/>
      <c r="M25" s="166"/>
      <c r="N25" s="166"/>
      <c r="O25" s="166"/>
      <c r="P25" s="149"/>
      <c r="Q25" s="149"/>
      <c r="BA25" s="141" t="str">
        <f t="shared" ref="BA25:BA35" si="4">IF(I25="","",IF(I25=0,0,1))</f>
        <v/>
      </c>
    </row>
    <row r="26" spans="1:53" s="112" customFormat="1" ht="12" customHeight="1" x14ac:dyDescent="0.15">
      <c r="A26" s="110" t="s">
        <v>1696</v>
      </c>
      <c r="B26" s="110"/>
      <c r="C26" s="110"/>
      <c r="D26" s="110"/>
      <c r="E26" s="110"/>
      <c r="F26" s="107"/>
      <c r="G26" s="169"/>
      <c r="H26" s="170"/>
      <c r="I26" s="170"/>
      <c r="J26" s="170"/>
      <c r="K26" s="170"/>
      <c r="L26" s="169"/>
      <c r="M26" s="169"/>
      <c r="N26" s="169"/>
      <c r="O26" s="169"/>
      <c r="P26" s="171"/>
      <c r="Q26" s="171"/>
      <c r="R26" s="110"/>
      <c r="BA26" s="141" t="str">
        <f t="shared" si="4"/>
        <v/>
      </c>
    </row>
    <row r="27" spans="1:53" s="140" customFormat="1" ht="12" customHeight="1" x14ac:dyDescent="0.15">
      <c r="A27" s="58" t="s">
        <v>1444</v>
      </c>
      <c r="B27" s="58" t="s">
        <v>111</v>
      </c>
      <c r="C27" s="58" t="s">
        <v>379</v>
      </c>
      <c r="D27" s="58" t="s">
        <v>380</v>
      </c>
      <c r="E27" s="58" t="s">
        <v>1455</v>
      </c>
      <c r="F27" s="137">
        <v>39929</v>
      </c>
      <c r="G27" s="138">
        <v>9000</v>
      </c>
      <c r="H27" s="139">
        <v>23</v>
      </c>
      <c r="I27" s="139">
        <v>3</v>
      </c>
      <c r="J27" s="139">
        <v>2</v>
      </c>
      <c r="K27" s="139">
        <v>5</v>
      </c>
      <c r="L27" s="138">
        <f>630+85+828+85+403+2666+1540+1540+9300+1600+3100+9300+321+492+100+726+85+528+100+4680+438+85+704</f>
        <v>39336</v>
      </c>
      <c r="M27" s="138">
        <f t="shared" ref="M27:M30" si="5">L27/H27</f>
        <v>1710.2608695652175</v>
      </c>
      <c r="N27" s="330">
        <f t="shared" ref="N27:N30" si="6">I27/H27</f>
        <v>0.13043478260869565</v>
      </c>
      <c r="O27" s="330">
        <f t="shared" ref="O27:O30" si="7">SUM(I27:K27)/H27</f>
        <v>0.43478260869565216</v>
      </c>
      <c r="P27" s="56" t="s">
        <v>2462</v>
      </c>
      <c r="Q27" s="56" t="s">
        <v>2311</v>
      </c>
      <c r="R27" s="139" t="s">
        <v>1312</v>
      </c>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BA27" s="141">
        <f t="shared" ref="BA27:BA30" si="8">IF(I27="","",IF(I27=0,0,1))</f>
        <v>1</v>
      </c>
    </row>
    <row r="28" spans="1:53" s="140" customFormat="1" ht="12" customHeight="1" x14ac:dyDescent="0.15">
      <c r="A28" s="58" t="s">
        <v>1520</v>
      </c>
      <c r="B28" s="58" t="s">
        <v>111</v>
      </c>
      <c r="C28" s="58" t="s">
        <v>1169</v>
      </c>
      <c r="D28" s="58" t="s">
        <v>1059</v>
      </c>
      <c r="E28" s="58" t="s">
        <v>1136</v>
      </c>
      <c r="F28" s="137">
        <v>39901</v>
      </c>
      <c r="G28" s="138">
        <v>37000</v>
      </c>
      <c r="H28" s="139">
        <v>34</v>
      </c>
      <c r="I28" s="139">
        <v>2</v>
      </c>
      <c r="J28" s="139">
        <v>8</v>
      </c>
      <c r="K28" s="139">
        <v>5</v>
      </c>
      <c r="L28" s="138">
        <f>13263+1490+260+1800+1680</f>
        <v>18493</v>
      </c>
      <c r="M28" s="138">
        <f t="shared" si="5"/>
        <v>543.91176470588232</v>
      </c>
      <c r="N28" s="330">
        <f t="shared" si="6"/>
        <v>5.8823529411764705E-2</v>
      </c>
      <c r="O28" s="330">
        <f t="shared" si="7"/>
        <v>0.44117647058823528</v>
      </c>
      <c r="P28" s="56" t="s">
        <v>3092</v>
      </c>
      <c r="Q28" s="56" t="s">
        <v>2349</v>
      </c>
      <c r="R28" s="139" t="s">
        <v>2352</v>
      </c>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BA28" s="141">
        <f t="shared" si="8"/>
        <v>1</v>
      </c>
    </row>
    <row r="29" spans="1:53" s="140" customFormat="1" ht="12" customHeight="1" x14ac:dyDescent="0.15">
      <c r="A29" s="58" t="s">
        <v>51</v>
      </c>
      <c r="B29" s="58" t="s">
        <v>1511</v>
      </c>
      <c r="C29" s="58" t="s">
        <v>1174</v>
      </c>
      <c r="D29" s="58" t="s">
        <v>1181</v>
      </c>
      <c r="E29" s="58" t="s">
        <v>1337</v>
      </c>
      <c r="F29" s="137">
        <v>39938</v>
      </c>
      <c r="G29" s="138">
        <v>11000</v>
      </c>
      <c r="H29" s="139">
        <v>26</v>
      </c>
      <c r="I29" s="139">
        <v>12</v>
      </c>
      <c r="J29" s="139">
        <v>6</v>
      </c>
      <c r="K29" s="139">
        <v>4</v>
      </c>
      <c r="L29" s="138">
        <f>233145+6000+4720+4920+4880+87000+3147+4200+8000+8960+5400+2300</f>
        <v>372672</v>
      </c>
      <c r="M29" s="138">
        <f t="shared" si="5"/>
        <v>14333.538461538461</v>
      </c>
      <c r="N29" s="330">
        <f t="shared" si="6"/>
        <v>0.46153846153846156</v>
      </c>
      <c r="O29" s="330">
        <f t="shared" si="7"/>
        <v>0.84615384615384615</v>
      </c>
      <c r="P29" s="56" t="s">
        <v>3264</v>
      </c>
      <c r="Q29" s="56" t="s">
        <v>1509</v>
      </c>
      <c r="R29" s="139" t="s">
        <v>2284</v>
      </c>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BA29" s="141">
        <f t="shared" si="8"/>
        <v>1</v>
      </c>
    </row>
    <row r="30" spans="1:53" s="140" customFormat="1" ht="12" customHeight="1" x14ac:dyDescent="0.15">
      <c r="A30" s="58" t="s">
        <v>353</v>
      </c>
      <c r="B30" s="58" t="s">
        <v>713</v>
      </c>
      <c r="C30" s="58" t="s">
        <v>382</v>
      </c>
      <c r="D30" s="58" t="s">
        <v>610</v>
      </c>
      <c r="E30" s="58" t="s">
        <v>1368</v>
      </c>
      <c r="F30" s="137">
        <v>39847</v>
      </c>
      <c r="G30" s="138"/>
      <c r="H30" s="139">
        <v>19</v>
      </c>
      <c r="I30" s="139">
        <v>1</v>
      </c>
      <c r="J30" s="139">
        <v>3</v>
      </c>
      <c r="K30" s="139">
        <v>1</v>
      </c>
      <c r="L30" s="138">
        <f>5640+350+350+380+540+2600+2600+540+2600+7800+105+105+105+105+315+189+330+68+68</f>
        <v>24790</v>
      </c>
      <c r="M30" s="138">
        <f t="shared" si="5"/>
        <v>1304.7368421052631</v>
      </c>
      <c r="N30" s="330">
        <f t="shared" si="6"/>
        <v>5.2631578947368418E-2</v>
      </c>
      <c r="O30" s="330">
        <f t="shared" si="7"/>
        <v>0.26315789473684209</v>
      </c>
      <c r="P30" s="56" t="s">
        <v>3234</v>
      </c>
      <c r="Q30" s="56" t="s">
        <v>2005</v>
      </c>
      <c r="R30" s="139" t="s">
        <v>3235</v>
      </c>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BA30" s="141">
        <f t="shared" si="8"/>
        <v>1</v>
      </c>
    </row>
    <row r="31" spans="1:53" s="140" customFormat="1" ht="12" customHeight="1" x14ac:dyDescent="0.15">
      <c r="A31" s="58" t="s">
        <v>345</v>
      </c>
      <c r="B31" s="58" t="s">
        <v>713</v>
      </c>
      <c r="C31" s="58" t="s">
        <v>1138</v>
      </c>
      <c r="D31" s="58" t="s">
        <v>1139</v>
      </c>
      <c r="E31" s="58" t="s">
        <v>1326</v>
      </c>
      <c r="F31" s="137">
        <v>39922</v>
      </c>
      <c r="G31" s="138"/>
      <c r="H31" s="139">
        <v>24</v>
      </c>
      <c r="I31" s="139">
        <v>4</v>
      </c>
      <c r="J31" s="139">
        <v>1</v>
      </c>
      <c r="K31" s="139">
        <v>5</v>
      </c>
      <c r="L31" s="138">
        <v>188040</v>
      </c>
      <c r="M31" s="138">
        <f>L31/H31</f>
        <v>7835</v>
      </c>
      <c r="N31" s="330">
        <f>I31/H31</f>
        <v>0.16666666666666666</v>
      </c>
      <c r="O31" s="330">
        <f>SUM(I31:K31)/H31</f>
        <v>0.41666666666666669</v>
      </c>
      <c r="P31" s="56" t="s">
        <v>3332</v>
      </c>
      <c r="Q31" s="56" t="s">
        <v>1510</v>
      </c>
      <c r="R31" s="139" t="s">
        <v>1586</v>
      </c>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BA31" s="141">
        <f>IF(I31="","",IF(I31=0,0,1))</f>
        <v>1</v>
      </c>
    </row>
    <row r="32" spans="1:53" s="140" customFormat="1" ht="12" customHeight="1" x14ac:dyDescent="0.15">
      <c r="A32" s="58" t="s">
        <v>55</v>
      </c>
      <c r="B32" s="58" t="s">
        <v>1918</v>
      </c>
      <c r="C32" s="58" t="s">
        <v>1194</v>
      </c>
      <c r="D32" s="58" t="s">
        <v>601</v>
      </c>
      <c r="E32" s="58" t="s">
        <v>1387</v>
      </c>
      <c r="F32" s="137">
        <v>39940</v>
      </c>
      <c r="G32" s="138">
        <v>3500</v>
      </c>
      <c r="H32" s="139">
        <v>25</v>
      </c>
      <c r="I32" s="139">
        <v>2</v>
      </c>
      <c r="J32" s="139">
        <v>1</v>
      </c>
      <c r="K32" s="139">
        <v>2</v>
      </c>
      <c r="L32" s="138">
        <f>5591+367+172+6000+13000+6500+34200+1770+335+124+262+5400+90+450+600+450+90+90+90+450+180</f>
        <v>76211</v>
      </c>
      <c r="M32" s="138">
        <f>L32/H32</f>
        <v>3048.44</v>
      </c>
      <c r="N32" s="330">
        <f>I32/H32</f>
        <v>0.08</v>
      </c>
      <c r="O32" s="330">
        <f>SUM(I32:K32)/H32</f>
        <v>0.2</v>
      </c>
      <c r="P32" s="56" t="s">
        <v>3374</v>
      </c>
      <c r="Q32" s="56" t="s">
        <v>1546</v>
      </c>
      <c r="R32" s="139" t="s">
        <v>2105</v>
      </c>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BA32" s="141">
        <f>IF(I32="","",IF(I32=0,0,1))</f>
        <v>1</v>
      </c>
    </row>
    <row r="33" spans="1:53" s="140" customFormat="1" ht="12" customHeight="1" x14ac:dyDescent="0.15">
      <c r="A33" s="58" t="s">
        <v>70</v>
      </c>
      <c r="B33" s="58" t="s">
        <v>1511</v>
      </c>
      <c r="C33" s="58" t="s">
        <v>472</v>
      </c>
      <c r="D33" s="58" t="s">
        <v>1021</v>
      </c>
      <c r="E33" s="58" t="s">
        <v>149</v>
      </c>
      <c r="F33" s="137">
        <v>39852</v>
      </c>
      <c r="G33" s="138">
        <v>17000</v>
      </c>
      <c r="H33" s="139">
        <v>25</v>
      </c>
      <c r="I33" s="139">
        <v>5</v>
      </c>
      <c r="J33" s="139">
        <v>6</v>
      </c>
      <c r="K33" s="139">
        <v>2</v>
      </c>
      <c r="L33" s="138">
        <f>89699+29961+20156+40868+9835+1500+3932+2713+3202+0+4106+2081+3749+964+14277+682+226+225</f>
        <v>228176</v>
      </c>
      <c r="M33" s="138">
        <f>L33/H33</f>
        <v>9127.0400000000009</v>
      </c>
      <c r="N33" s="330">
        <f>I33/H33</f>
        <v>0.2</v>
      </c>
      <c r="O33" s="330">
        <f>SUM(I33:K33)/H33</f>
        <v>0.52</v>
      </c>
      <c r="P33" s="56" t="s">
        <v>3454</v>
      </c>
      <c r="Q33" s="56" t="s">
        <v>2308</v>
      </c>
      <c r="R33" s="139" t="s">
        <v>1256</v>
      </c>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BA33" s="141">
        <f>IF(I33="","",IF(I33=0,0,1))</f>
        <v>1</v>
      </c>
    </row>
    <row r="34" spans="1:53" ht="12" customHeight="1" x14ac:dyDescent="0.15">
      <c r="G34" s="166"/>
      <c r="H34" s="104"/>
      <c r="I34" s="104"/>
      <c r="J34" s="104"/>
      <c r="K34" s="104"/>
      <c r="L34" s="166"/>
      <c r="M34" s="166"/>
      <c r="N34" s="166"/>
      <c r="O34" s="166"/>
      <c r="P34" s="149"/>
      <c r="Q34" s="149"/>
      <c r="BA34" s="141" t="str">
        <f t="shared" si="4"/>
        <v/>
      </c>
    </row>
    <row r="35" spans="1:53" s="112" customFormat="1" ht="12" customHeight="1" x14ac:dyDescent="0.15">
      <c r="A35" s="110" t="s">
        <v>1697</v>
      </c>
      <c r="B35" s="110"/>
      <c r="C35" s="110"/>
      <c r="D35" s="110"/>
      <c r="E35" s="110"/>
      <c r="F35" s="107"/>
      <c r="G35" s="169"/>
      <c r="H35" s="170"/>
      <c r="I35" s="170"/>
      <c r="J35" s="170"/>
      <c r="K35" s="170"/>
      <c r="L35" s="169"/>
      <c r="M35" s="169"/>
      <c r="N35" s="169"/>
      <c r="O35" s="169"/>
      <c r="P35" s="171"/>
      <c r="Q35" s="171"/>
      <c r="R35" s="110"/>
      <c r="BA35" s="141" t="str">
        <f t="shared" si="4"/>
        <v/>
      </c>
    </row>
    <row r="36" spans="1:53" s="140" customFormat="1" ht="12" customHeight="1" x14ac:dyDescent="0.15">
      <c r="A36" s="58" t="s">
        <v>1524</v>
      </c>
      <c r="B36" s="58" t="s">
        <v>969</v>
      </c>
      <c r="C36" s="58" t="s">
        <v>370</v>
      </c>
      <c r="D36" s="58" t="s">
        <v>459</v>
      </c>
      <c r="E36" s="58" t="s">
        <v>1435</v>
      </c>
      <c r="F36" s="137">
        <v>39875</v>
      </c>
      <c r="G36" s="138"/>
      <c r="H36" s="139">
        <v>15</v>
      </c>
      <c r="I36" s="139">
        <v>3</v>
      </c>
      <c r="J36" s="139">
        <v>0</v>
      </c>
      <c r="K36" s="139">
        <v>0</v>
      </c>
      <c r="L36" s="138">
        <f>115+24600+25800+1620+690+0+8160+1650+850+200+300+300+450+300+100</f>
        <v>65135</v>
      </c>
      <c r="M36" s="138">
        <f>L36/H36</f>
        <v>4342.333333333333</v>
      </c>
      <c r="N36" s="330">
        <f>I36/H36</f>
        <v>0.2</v>
      </c>
      <c r="O36" s="330">
        <f>SUM(I36:K36)/H36</f>
        <v>0.2</v>
      </c>
      <c r="P36" s="56" t="s">
        <v>2216</v>
      </c>
      <c r="Q36" s="56" t="s">
        <v>141</v>
      </c>
      <c r="R36" s="139" t="s">
        <v>127</v>
      </c>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BA36" s="141">
        <f t="shared" ref="BA36:BA44" si="9">IF(I36="","",IF(I36=0,0,1))</f>
        <v>1</v>
      </c>
    </row>
    <row r="37" spans="1:53" s="140" customFormat="1" ht="12" customHeight="1" x14ac:dyDescent="0.15">
      <c r="A37" s="58" t="s">
        <v>1447</v>
      </c>
      <c r="B37" s="58" t="s">
        <v>95</v>
      </c>
      <c r="C37" s="58" t="s">
        <v>1012</v>
      </c>
      <c r="D37" s="58" t="s">
        <v>555</v>
      </c>
      <c r="E37" s="58" t="s">
        <v>1324</v>
      </c>
      <c r="F37" s="137">
        <v>39872</v>
      </c>
      <c r="G37" s="138"/>
      <c r="H37" s="139">
        <v>19</v>
      </c>
      <c r="I37" s="139">
        <v>3</v>
      </c>
      <c r="J37" s="139">
        <v>2</v>
      </c>
      <c r="K37" s="139">
        <v>3</v>
      </c>
      <c r="L37" s="138">
        <f>140+1365+1950+200+10200+1800+1560+1140+150+1450+130+125+2900+4440+9000+506+10800+248+360</f>
        <v>48464</v>
      </c>
      <c r="M37" s="138">
        <f>L37/H37</f>
        <v>2550.7368421052633</v>
      </c>
      <c r="N37" s="330">
        <f>I37/H37</f>
        <v>0.15789473684210525</v>
      </c>
      <c r="O37" s="330">
        <f>SUM(I37:K37)/H37</f>
        <v>0.42105263157894735</v>
      </c>
      <c r="P37" s="56" t="s">
        <v>2354</v>
      </c>
      <c r="Q37" s="56" t="s">
        <v>1501</v>
      </c>
      <c r="R37" s="139" t="s">
        <v>405</v>
      </c>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BA37" s="141">
        <f>IF(I37="","",IF(I37=0,0,1))</f>
        <v>1</v>
      </c>
    </row>
    <row r="38" spans="1:53" s="140" customFormat="1" ht="12" customHeight="1" x14ac:dyDescent="0.15">
      <c r="A38" s="58" t="s">
        <v>1525</v>
      </c>
      <c r="B38" s="58" t="s">
        <v>111</v>
      </c>
      <c r="C38" s="58" t="s">
        <v>985</v>
      </c>
      <c r="D38" s="58" t="s">
        <v>824</v>
      </c>
      <c r="E38" s="58" t="s">
        <v>1458</v>
      </c>
      <c r="F38" s="137">
        <v>39878</v>
      </c>
      <c r="G38" s="138">
        <v>2500</v>
      </c>
      <c r="H38" s="139">
        <v>15</v>
      </c>
      <c r="I38" s="139">
        <v>3</v>
      </c>
      <c r="J38" s="139">
        <v>2</v>
      </c>
      <c r="K38" s="139">
        <v>3</v>
      </c>
      <c r="L38" s="138">
        <f>185+1102+1043+0+216+1060+146+214+146+366+366+221+221+0</f>
        <v>5286</v>
      </c>
      <c r="M38" s="138">
        <f>L38/H38</f>
        <v>352.4</v>
      </c>
      <c r="N38" s="330">
        <f>I38/H38</f>
        <v>0.2</v>
      </c>
      <c r="O38" s="330">
        <f>SUM(I38:K38)/H38</f>
        <v>0.53333333333333333</v>
      </c>
      <c r="P38" s="56" t="s">
        <v>2437</v>
      </c>
      <c r="Q38" s="56" t="s">
        <v>2347</v>
      </c>
      <c r="R38" s="139" t="s">
        <v>2068</v>
      </c>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BA38" s="141">
        <f>IF(I38="","",IF(I38=0,0,1))</f>
        <v>1</v>
      </c>
    </row>
    <row r="39" spans="1:53" s="140" customFormat="1" ht="12" customHeight="1" x14ac:dyDescent="0.15">
      <c r="A39" s="58" t="s">
        <v>1522</v>
      </c>
      <c r="B39" s="58" t="s">
        <v>1924</v>
      </c>
      <c r="C39" s="58" t="s">
        <v>498</v>
      </c>
      <c r="D39" s="58" t="s">
        <v>1027</v>
      </c>
      <c r="E39" s="58" t="s">
        <v>1453</v>
      </c>
      <c r="F39" s="137">
        <v>39880</v>
      </c>
      <c r="G39" s="138">
        <v>20000</v>
      </c>
      <c r="H39" s="139">
        <v>40</v>
      </c>
      <c r="I39" s="139">
        <v>7</v>
      </c>
      <c r="J39" s="139">
        <v>8</v>
      </c>
      <c r="K39" s="139">
        <v>5</v>
      </c>
      <c r="L39" s="138">
        <v>56919</v>
      </c>
      <c r="M39" s="138">
        <f>L39/H39</f>
        <v>1422.9749999999999</v>
      </c>
      <c r="N39" s="330">
        <f>I39/H39</f>
        <v>0.17499999999999999</v>
      </c>
      <c r="O39" s="330">
        <f>SUM(I39:K39)/H39</f>
        <v>0.5</v>
      </c>
      <c r="P39" s="56" t="s">
        <v>2427</v>
      </c>
      <c r="Q39" s="56" t="s">
        <v>1958</v>
      </c>
      <c r="R39" s="139" t="s">
        <v>1631</v>
      </c>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BA39" s="141">
        <f>IF(I39="","",IF(I39=0,0,1))</f>
        <v>1</v>
      </c>
    </row>
    <row r="40" spans="1:53" s="90" customFormat="1" ht="12" customHeight="1" x14ac:dyDescent="0.15">
      <c r="A40" s="51"/>
      <c r="B40" s="51"/>
      <c r="C40" s="51"/>
      <c r="D40" s="51"/>
      <c r="E40" s="51"/>
      <c r="F40" s="85"/>
      <c r="G40" s="86"/>
      <c r="H40" s="87"/>
      <c r="I40" s="87"/>
      <c r="J40" s="87"/>
      <c r="K40" s="87"/>
      <c r="L40" s="86"/>
      <c r="M40" s="86"/>
      <c r="N40" s="86"/>
      <c r="O40" s="86"/>
      <c r="P40" s="89"/>
      <c r="Q40" s="89"/>
      <c r="R40" s="51"/>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13"/>
      <c r="BA40" s="141" t="str">
        <f t="shared" si="9"/>
        <v/>
      </c>
    </row>
    <row r="41" spans="1:53" s="112" customFormat="1" ht="12" customHeight="1" x14ac:dyDescent="0.15">
      <c r="A41" s="159" t="s">
        <v>1850</v>
      </c>
      <c r="B41" s="6" t="s">
        <v>1840</v>
      </c>
      <c r="C41" s="110"/>
      <c r="D41" s="110"/>
      <c r="E41" s="110"/>
      <c r="F41" s="107"/>
      <c r="G41" s="108"/>
      <c r="H41" s="134"/>
      <c r="I41" s="134"/>
      <c r="J41" s="134"/>
      <c r="K41" s="134"/>
      <c r="L41" s="108"/>
      <c r="M41" s="108"/>
      <c r="N41" s="108"/>
      <c r="O41" s="108"/>
      <c r="P41" s="159"/>
      <c r="Q41" s="159"/>
      <c r="R41" s="110"/>
      <c r="BA41" s="141" t="str">
        <f t="shared" si="9"/>
        <v/>
      </c>
    </row>
    <row r="42" spans="1:53" s="140" customFormat="1" ht="12" customHeight="1" x14ac:dyDescent="0.15">
      <c r="A42" s="58" t="s">
        <v>1460</v>
      </c>
      <c r="B42" s="58" t="s">
        <v>111</v>
      </c>
      <c r="C42" s="58" t="s">
        <v>1199</v>
      </c>
      <c r="D42" s="58" t="s">
        <v>828</v>
      </c>
      <c r="E42" s="58" t="s">
        <v>1423</v>
      </c>
      <c r="F42" s="137">
        <v>39948</v>
      </c>
      <c r="G42" s="138">
        <v>10000</v>
      </c>
      <c r="H42" s="139">
        <v>4</v>
      </c>
      <c r="I42" s="139">
        <v>2</v>
      </c>
      <c r="J42" s="139">
        <v>0</v>
      </c>
      <c r="K42" s="139">
        <v>1</v>
      </c>
      <c r="L42" s="138">
        <f>46+467+729</f>
        <v>1242</v>
      </c>
      <c r="M42" s="138">
        <f t="shared" ref="M42:M49" si="10">L42/H42</f>
        <v>310.5</v>
      </c>
      <c r="N42" s="330">
        <f t="shared" ref="N42:N49" si="11">I42/H42</f>
        <v>0.5</v>
      </c>
      <c r="O42" s="330">
        <f t="shared" ref="O42:O49" si="12">SUM(I42:K42)/H42</f>
        <v>0.75</v>
      </c>
      <c r="P42" s="56" t="s">
        <v>1689</v>
      </c>
      <c r="Q42" s="56" t="s">
        <v>1267</v>
      </c>
      <c r="R42" s="139" t="s">
        <v>3360</v>
      </c>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BA42" s="141">
        <f t="shared" si="9"/>
        <v>1</v>
      </c>
    </row>
    <row r="43" spans="1:53" s="140" customFormat="1" ht="12" customHeight="1" x14ac:dyDescent="0.15">
      <c r="A43" s="58" t="s">
        <v>85</v>
      </c>
      <c r="B43" s="58" t="s">
        <v>112</v>
      </c>
      <c r="C43" s="58" t="s">
        <v>399</v>
      </c>
      <c r="D43" s="58" t="s">
        <v>807</v>
      </c>
      <c r="E43" s="58" t="s">
        <v>313</v>
      </c>
      <c r="F43" s="137">
        <v>39895</v>
      </c>
      <c r="G43" s="138">
        <v>9000</v>
      </c>
      <c r="H43" s="139">
        <v>6</v>
      </c>
      <c r="I43" s="139">
        <v>1</v>
      </c>
      <c r="J43" s="139">
        <v>0</v>
      </c>
      <c r="K43" s="139">
        <v>0</v>
      </c>
      <c r="L43" s="138">
        <f>3900+99+270+203+68+64</f>
        <v>4604</v>
      </c>
      <c r="M43" s="138">
        <f>L43/H43</f>
        <v>767.33333333333337</v>
      </c>
      <c r="N43" s="330">
        <f>I43/H43</f>
        <v>0.16666666666666666</v>
      </c>
      <c r="O43" s="330">
        <f>SUM(I43:K43)/H43</f>
        <v>0.16666666666666666</v>
      </c>
      <c r="P43" s="56" t="s">
        <v>1976</v>
      </c>
      <c r="Q43" s="56"/>
      <c r="R43" s="139" t="s">
        <v>4642</v>
      </c>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BA43" s="141">
        <f t="shared" si="9"/>
        <v>1</v>
      </c>
    </row>
    <row r="44" spans="1:53" s="140" customFormat="1" ht="12" customHeight="1" x14ac:dyDescent="0.15">
      <c r="A44" s="58" t="s">
        <v>76</v>
      </c>
      <c r="B44" s="58" t="s">
        <v>969</v>
      </c>
      <c r="C44" s="58" t="s">
        <v>403</v>
      </c>
      <c r="D44" s="58" t="s">
        <v>416</v>
      </c>
      <c r="E44" s="58" t="s">
        <v>1350</v>
      </c>
      <c r="F44" s="137">
        <v>39917</v>
      </c>
      <c r="G44" s="138">
        <v>4500</v>
      </c>
      <c r="H44" s="139">
        <v>13</v>
      </c>
      <c r="I44" s="139">
        <v>1</v>
      </c>
      <c r="J44" s="139">
        <v>0</v>
      </c>
      <c r="K44" s="139">
        <v>0</v>
      </c>
      <c r="L44" s="138">
        <v>12736</v>
      </c>
      <c r="M44" s="138">
        <f t="shared" si="10"/>
        <v>979.69230769230774</v>
      </c>
      <c r="N44" s="330">
        <f t="shared" si="11"/>
        <v>7.6923076923076927E-2</v>
      </c>
      <c r="O44" s="330">
        <f t="shared" si="12"/>
        <v>7.6923076923076927E-2</v>
      </c>
      <c r="P44" s="56" t="s">
        <v>2282</v>
      </c>
      <c r="Q44" s="56"/>
      <c r="R44" s="139" t="s">
        <v>3160</v>
      </c>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BA44" s="141">
        <f t="shared" si="9"/>
        <v>1</v>
      </c>
    </row>
    <row r="45" spans="1:53" s="140" customFormat="1" ht="12" customHeight="1" x14ac:dyDescent="0.15">
      <c r="A45" s="58" t="s">
        <v>1532</v>
      </c>
      <c r="B45" s="58" t="s">
        <v>1921</v>
      </c>
      <c r="C45" s="58" t="s">
        <v>1048</v>
      </c>
      <c r="D45" s="58" t="s">
        <v>1122</v>
      </c>
      <c r="E45" s="58" t="s">
        <v>1136</v>
      </c>
      <c r="F45" s="137">
        <v>39834</v>
      </c>
      <c r="G45" s="138"/>
      <c r="H45" s="139">
        <v>15</v>
      </c>
      <c r="I45" s="139">
        <v>2</v>
      </c>
      <c r="J45" s="139">
        <v>1</v>
      </c>
      <c r="K45" s="139">
        <v>2</v>
      </c>
      <c r="L45" s="138">
        <f>6325+125+1995+125+1575+559+1117+125+125+125+2420+125+125+125</f>
        <v>14991</v>
      </c>
      <c r="M45" s="138">
        <f>L45/H45</f>
        <v>999.4</v>
      </c>
      <c r="N45" s="330">
        <f>I45/H45</f>
        <v>0.13333333333333333</v>
      </c>
      <c r="O45" s="330">
        <f>SUM(I45:K45)/H45</f>
        <v>0.33333333333333331</v>
      </c>
      <c r="P45" s="56" t="s">
        <v>2282</v>
      </c>
      <c r="Q45" s="56"/>
      <c r="R45" s="139" t="s">
        <v>4124</v>
      </c>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BA45" s="141">
        <f t="shared" ref="BA45:BA63" si="13">IF(I45="","",IF(I45=0,0,1))</f>
        <v>1</v>
      </c>
    </row>
    <row r="46" spans="1:53" s="140" customFormat="1" ht="12" customHeight="1" x14ac:dyDescent="0.15">
      <c r="A46" s="58" t="s">
        <v>88</v>
      </c>
      <c r="B46" s="58" t="s">
        <v>111</v>
      </c>
      <c r="C46" s="58" t="s">
        <v>908</v>
      </c>
      <c r="D46" s="58" t="s">
        <v>801</v>
      </c>
      <c r="E46" s="58" t="s">
        <v>1456</v>
      </c>
      <c r="F46" s="137">
        <v>39906</v>
      </c>
      <c r="G46" s="138">
        <v>12000</v>
      </c>
      <c r="H46" s="139">
        <v>11</v>
      </c>
      <c r="I46" s="139">
        <v>4</v>
      </c>
      <c r="J46" s="139">
        <v>0</v>
      </c>
      <c r="K46" s="139">
        <v>1</v>
      </c>
      <c r="L46" s="138">
        <f>708+107+12629+1040+0+163+978+143+190</f>
        <v>15958</v>
      </c>
      <c r="M46" s="138">
        <f t="shared" si="10"/>
        <v>1450.7272727272727</v>
      </c>
      <c r="N46" s="330">
        <f t="shared" si="11"/>
        <v>0.36363636363636365</v>
      </c>
      <c r="O46" s="330">
        <f t="shared" si="12"/>
        <v>0.45454545454545453</v>
      </c>
      <c r="P46" s="56" t="s">
        <v>1689</v>
      </c>
      <c r="Q46" s="56" t="s">
        <v>1267</v>
      </c>
      <c r="R46" s="139" t="s">
        <v>3359</v>
      </c>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BA46" s="141">
        <f t="shared" si="13"/>
        <v>1</v>
      </c>
    </row>
    <row r="47" spans="1:53" s="140" customFormat="1" ht="12" customHeight="1" x14ac:dyDescent="0.15">
      <c r="A47" s="58" t="s">
        <v>1533</v>
      </c>
      <c r="B47" s="58" t="s">
        <v>383</v>
      </c>
      <c r="C47" s="58" t="s">
        <v>407</v>
      </c>
      <c r="D47" s="58" t="s">
        <v>408</v>
      </c>
      <c r="E47" s="58" t="s">
        <v>1387</v>
      </c>
      <c r="F47" s="137">
        <v>39922</v>
      </c>
      <c r="G47" s="138"/>
      <c r="H47" s="139">
        <v>3</v>
      </c>
      <c r="I47" s="139">
        <v>1</v>
      </c>
      <c r="J47" s="139">
        <v>0</v>
      </c>
      <c r="K47" s="139">
        <v>0</v>
      </c>
      <c r="L47" s="138">
        <f>167+150+16800</f>
        <v>17117</v>
      </c>
      <c r="M47" s="138">
        <f t="shared" si="10"/>
        <v>5705.666666666667</v>
      </c>
      <c r="N47" s="330">
        <f t="shared" si="11"/>
        <v>0.33333333333333331</v>
      </c>
      <c r="O47" s="330">
        <f t="shared" si="12"/>
        <v>0.33333333333333331</v>
      </c>
      <c r="P47" s="56" t="s">
        <v>1976</v>
      </c>
      <c r="Q47" s="56"/>
      <c r="R47" s="139" t="s">
        <v>2106</v>
      </c>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BA47" s="141">
        <f t="shared" si="13"/>
        <v>1</v>
      </c>
    </row>
    <row r="48" spans="1:53" s="140" customFormat="1" ht="12" customHeight="1" x14ac:dyDescent="0.15">
      <c r="A48" s="58" t="s">
        <v>123</v>
      </c>
      <c r="B48" s="58" t="s">
        <v>2142</v>
      </c>
      <c r="C48" s="58" t="s">
        <v>401</v>
      </c>
      <c r="D48" s="58" t="s">
        <v>462</v>
      </c>
      <c r="E48" s="58" t="s">
        <v>1335</v>
      </c>
      <c r="F48" s="137">
        <v>39838</v>
      </c>
      <c r="G48" s="138"/>
      <c r="H48" s="139">
        <v>2</v>
      </c>
      <c r="I48" s="139">
        <v>1</v>
      </c>
      <c r="J48" s="139">
        <v>0</v>
      </c>
      <c r="K48" s="139">
        <v>1</v>
      </c>
      <c r="L48" s="138">
        <f>14280+3388</f>
        <v>17668</v>
      </c>
      <c r="M48" s="138">
        <f t="shared" si="10"/>
        <v>8834</v>
      </c>
      <c r="N48" s="330">
        <f t="shared" si="11"/>
        <v>0.5</v>
      </c>
      <c r="O48" s="330">
        <f t="shared" si="12"/>
        <v>1</v>
      </c>
      <c r="P48" s="56" t="s">
        <v>1689</v>
      </c>
      <c r="Q48" s="56"/>
      <c r="R48" s="139" t="s">
        <v>3591</v>
      </c>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BA48" s="141">
        <f t="shared" si="13"/>
        <v>1</v>
      </c>
    </row>
    <row r="49" spans="1:53" s="140" customFormat="1" ht="12" customHeight="1" x14ac:dyDescent="0.15">
      <c r="A49" s="58" t="s">
        <v>1451</v>
      </c>
      <c r="B49" s="58" t="s">
        <v>2141</v>
      </c>
      <c r="C49" s="58" t="s">
        <v>1445</v>
      </c>
      <c r="D49" s="58" t="s">
        <v>1446</v>
      </c>
      <c r="E49" s="58" t="s">
        <v>1452</v>
      </c>
      <c r="F49" s="137">
        <v>39898</v>
      </c>
      <c r="G49" s="138">
        <v>55449</v>
      </c>
      <c r="H49" s="139">
        <v>7</v>
      </c>
      <c r="I49" s="139">
        <v>1</v>
      </c>
      <c r="J49" s="139">
        <v>1</v>
      </c>
      <c r="K49" s="139">
        <v>1</v>
      </c>
      <c r="L49" s="138">
        <f>3919+1573+7753+2501+5064+390+0</f>
        <v>21200</v>
      </c>
      <c r="M49" s="138">
        <f t="shared" si="10"/>
        <v>3028.5714285714284</v>
      </c>
      <c r="N49" s="330">
        <f t="shared" si="11"/>
        <v>0.14285714285714285</v>
      </c>
      <c r="O49" s="330">
        <f t="shared" si="12"/>
        <v>0.42857142857142855</v>
      </c>
      <c r="P49" s="56" t="s">
        <v>1976</v>
      </c>
      <c r="Q49" s="56" t="s">
        <v>1765</v>
      </c>
      <c r="R49" s="139" t="s">
        <v>2281</v>
      </c>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BA49" s="141">
        <f t="shared" si="13"/>
        <v>1</v>
      </c>
    </row>
    <row r="50" spans="1:53" s="140" customFormat="1" ht="12" customHeight="1" x14ac:dyDescent="0.15">
      <c r="A50" s="58" t="s">
        <v>75</v>
      </c>
      <c r="B50" s="58" t="s">
        <v>1769</v>
      </c>
      <c r="C50" s="58" t="s">
        <v>1200</v>
      </c>
      <c r="D50" s="58" t="s">
        <v>346</v>
      </c>
      <c r="E50" s="58" t="s">
        <v>1383</v>
      </c>
      <c r="F50" s="137">
        <v>39904</v>
      </c>
      <c r="G50" s="138">
        <v>5000</v>
      </c>
      <c r="H50" s="139">
        <v>16</v>
      </c>
      <c r="I50" s="139">
        <v>1</v>
      </c>
      <c r="J50" s="139">
        <v>0</v>
      </c>
      <c r="K50" s="139">
        <v>1</v>
      </c>
      <c r="L50" s="138">
        <f>3740+2700+2040+750+0+250+150+10200+250+250+250+1140+250+250+250+250</f>
        <v>22720</v>
      </c>
      <c r="M50" s="138">
        <f t="shared" ref="M50:M57" si="14">L50/H50</f>
        <v>1420</v>
      </c>
      <c r="N50" s="330">
        <f t="shared" ref="N50:N57" si="15">I50/H50</f>
        <v>6.25E-2</v>
      </c>
      <c r="O50" s="330">
        <f t="shared" ref="O50:O57" si="16">SUM(I50:K50)/H50</f>
        <v>0.125</v>
      </c>
      <c r="P50" s="56" t="s">
        <v>1976</v>
      </c>
      <c r="Q50" s="56" t="s">
        <v>1835</v>
      </c>
      <c r="R50" s="139" t="s">
        <v>2133</v>
      </c>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BA50" s="141">
        <f t="shared" si="13"/>
        <v>1</v>
      </c>
    </row>
    <row r="51" spans="1:53" s="140" customFormat="1" ht="12" customHeight="1" x14ac:dyDescent="0.15">
      <c r="A51" s="58" t="s">
        <v>1829</v>
      </c>
      <c r="B51" s="58" t="s">
        <v>1654</v>
      </c>
      <c r="C51" s="58" t="s">
        <v>581</v>
      </c>
      <c r="D51" s="58" t="s">
        <v>749</v>
      </c>
      <c r="E51" s="58" t="s">
        <v>1425</v>
      </c>
      <c r="F51" s="137">
        <v>39891</v>
      </c>
      <c r="G51" s="138"/>
      <c r="H51" s="139">
        <v>15</v>
      </c>
      <c r="I51" s="139">
        <v>2</v>
      </c>
      <c r="J51" s="139">
        <v>2</v>
      </c>
      <c r="K51" s="139">
        <v>2</v>
      </c>
      <c r="L51" s="138">
        <f>13796+6600+220+0+1100+2200+330</f>
        <v>24246</v>
      </c>
      <c r="M51" s="138">
        <f t="shared" si="14"/>
        <v>1616.4</v>
      </c>
      <c r="N51" s="330">
        <f t="shared" si="15"/>
        <v>0.13333333333333333</v>
      </c>
      <c r="O51" s="330">
        <f t="shared" si="16"/>
        <v>0.4</v>
      </c>
      <c r="P51" s="56" t="s">
        <v>2282</v>
      </c>
      <c r="Q51" s="56" t="s">
        <v>1893</v>
      </c>
      <c r="R51" s="139" t="s">
        <v>2395</v>
      </c>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BA51" s="141">
        <f t="shared" si="13"/>
        <v>1</v>
      </c>
    </row>
    <row r="52" spans="1:53" s="140" customFormat="1" ht="12" customHeight="1" x14ac:dyDescent="0.15">
      <c r="A52" s="58" t="s">
        <v>1497</v>
      </c>
      <c r="B52" s="58" t="s">
        <v>713</v>
      </c>
      <c r="C52" s="58" t="s">
        <v>1062</v>
      </c>
      <c r="D52" s="58" t="s">
        <v>704</v>
      </c>
      <c r="E52" s="58" t="s">
        <v>1350</v>
      </c>
      <c r="F52" s="137">
        <v>39842</v>
      </c>
      <c r="G52" s="138">
        <v>32000</v>
      </c>
      <c r="H52" s="139">
        <v>11</v>
      </c>
      <c r="I52" s="139">
        <v>3</v>
      </c>
      <c r="J52" s="139">
        <v>2</v>
      </c>
      <c r="K52" s="139">
        <v>4</v>
      </c>
      <c r="L52" s="138">
        <f>3300+2940+1980+7980+2730+7410+690+900+1650+8550+1650</f>
        <v>39780</v>
      </c>
      <c r="M52" s="138">
        <f>L52/H52</f>
        <v>3616.3636363636365</v>
      </c>
      <c r="N52" s="330">
        <f>I52/H52</f>
        <v>0.27272727272727271</v>
      </c>
      <c r="O52" s="330">
        <f>SUM(I52:K52)/H52</f>
        <v>0.81818181818181823</v>
      </c>
      <c r="P52" s="56" t="s">
        <v>1976</v>
      </c>
      <c r="Q52" s="56" t="s">
        <v>141</v>
      </c>
      <c r="R52" s="139" t="s">
        <v>4021</v>
      </c>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BA52" s="141">
        <f t="shared" si="13"/>
        <v>1</v>
      </c>
    </row>
    <row r="53" spans="1:53" s="140" customFormat="1" ht="12" customHeight="1" x14ac:dyDescent="0.15">
      <c r="A53" s="58" t="s">
        <v>1591</v>
      </c>
      <c r="B53" s="58" t="s">
        <v>111</v>
      </c>
      <c r="C53" s="58" t="s">
        <v>497</v>
      </c>
      <c r="D53" s="58" t="s">
        <v>674</v>
      </c>
      <c r="E53" s="58" t="s">
        <v>1363</v>
      </c>
      <c r="F53" s="137">
        <v>39839</v>
      </c>
      <c r="G53" s="138">
        <v>2700</v>
      </c>
      <c r="H53" s="139">
        <v>30</v>
      </c>
      <c r="I53" s="139">
        <v>5</v>
      </c>
      <c r="J53" s="139">
        <v>4</v>
      </c>
      <c r="K53" s="139">
        <v>9</v>
      </c>
      <c r="L53" s="138">
        <f>2420+0+3400+1320+0+320+4720+1200+600+4800+1700+5100+208+950+800+86+890+96+960+5400+940+480+94+900+1800+465+465+1860+465+5841</f>
        <v>48280</v>
      </c>
      <c r="M53" s="138">
        <f>L53/H53</f>
        <v>1609.3333333333333</v>
      </c>
      <c r="N53" s="330">
        <f>I53/H53</f>
        <v>0.16666666666666666</v>
      </c>
      <c r="O53" s="330">
        <f>SUM(I53:K53)/H53</f>
        <v>0.6</v>
      </c>
      <c r="P53" s="56" t="s">
        <v>3172</v>
      </c>
      <c r="Q53" s="56"/>
      <c r="R53" s="139" t="s">
        <v>3378</v>
      </c>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BA53" s="141">
        <f t="shared" si="13"/>
        <v>1</v>
      </c>
    </row>
    <row r="54" spans="1:53" s="140" customFormat="1" ht="12" customHeight="1" x14ac:dyDescent="0.15">
      <c r="A54" s="58" t="s">
        <v>63</v>
      </c>
      <c r="B54" s="58" t="s">
        <v>1924</v>
      </c>
      <c r="C54" s="58" t="s">
        <v>1195</v>
      </c>
      <c r="D54" s="58" t="s">
        <v>755</v>
      </c>
      <c r="E54" s="58" t="s">
        <v>1461</v>
      </c>
      <c r="F54" s="137">
        <v>39920</v>
      </c>
      <c r="G54" s="138"/>
      <c r="H54" s="139">
        <v>10</v>
      </c>
      <c r="I54" s="139">
        <v>1</v>
      </c>
      <c r="J54" s="139">
        <v>1</v>
      </c>
      <c r="K54" s="139">
        <v>1</v>
      </c>
      <c r="L54" s="138">
        <f>3000+172+33000+16080+3350+216+380+248+6700+206</f>
        <v>63352</v>
      </c>
      <c r="M54" s="138">
        <f t="shared" si="14"/>
        <v>6335.2</v>
      </c>
      <c r="N54" s="330">
        <f t="shared" si="15"/>
        <v>0.1</v>
      </c>
      <c r="O54" s="330">
        <f t="shared" si="16"/>
        <v>0.3</v>
      </c>
      <c r="P54" s="56" t="s">
        <v>1976</v>
      </c>
      <c r="Q54" s="56" t="s">
        <v>1550</v>
      </c>
      <c r="R54" s="139" t="s">
        <v>3643</v>
      </c>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BA54" s="141">
        <f t="shared" si="13"/>
        <v>1</v>
      </c>
    </row>
    <row r="55" spans="1:53" s="140" customFormat="1" ht="12" customHeight="1" x14ac:dyDescent="0.15">
      <c r="A55" s="58" t="s">
        <v>1537</v>
      </c>
      <c r="B55" s="58" t="s">
        <v>112</v>
      </c>
      <c r="C55" s="58" t="s">
        <v>949</v>
      </c>
      <c r="D55" s="58" t="s">
        <v>459</v>
      </c>
      <c r="E55" s="58" t="s">
        <v>1335</v>
      </c>
      <c r="F55" s="137">
        <v>39899</v>
      </c>
      <c r="G55" s="138">
        <v>87000</v>
      </c>
      <c r="H55" s="139">
        <v>15</v>
      </c>
      <c r="I55" s="139">
        <v>4</v>
      </c>
      <c r="J55" s="139">
        <v>2</v>
      </c>
      <c r="K55" s="139">
        <v>2</v>
      </c>
      <c r="L55" s="138">
        <v>72108</v>
      </c>
      <c r="M55" s="138">
        <f t="shared" si="14"/>
        <v>4807.2</v>
      </c>
      <c r="N55" s="330">
        <f t="shared" si="15"/>
        <v>0.26666666666666666</v>
      </c>
      <c r="O55" s="330">
        <f t="shared" si="16"/>
        <v>0.53333333333333333</v>
      </c>
      <c r="P55" s="56" t="s">
        <v>1976</v>
      </c>
      <c r="Q55" s="56"/>
      <c r="R55" s="139" t="s">
        <v>3275</v>
      </c>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BA55" s="141">
        <f t="shared" si="13"/>
        <v>1</v>
      </c>
    </row>
    <row r="56" spans="1:53" s="140" customFormat="1" ht="12" customHeight="1" x14ac:dyDescent="0.15">
      <c r="A56" s="58" t="s">
        <v>1493</v>
      </c>
      <c r="B56" s="58" t="s">
        <v>969</v>
      </c>
      <c r="C56" s="58" t="s">
        <v>390</v>
      </c>
      <c r="D56" s="58" t="s">
        <v>698</v>
      </c>
      <c r="E56" s="58" t="s">
        <v>1436</v>
      </c>
      <c r="F56" s="137">
        <v>39884</v>
      </c>
      <c r="G56" s="138">
        <v>30000</v>
      </c>
      <c r="H56" s="139">
        <v>14</v>
      </c>
      <c r="I56" s="139">
        <v>4</v>
      </c>
      <c r="J56" s="139">
        <v>2</v>
      </c>
      <c r="K56" s="139">
        <v>4</v>
      </c>
      <c r="L56" s="138">
        <f>2760+13800+7000+5520+350+4800+4000+15000+800+350+7899+9226+350+1519</f>
        <v>73374</v>
      </c>
      <c r="M56" s="138">
        <f>L56/H56</f>
        <v>5241</v>
      </c>
      <c r="N56" s="330">
        <f>I56/H56</f>
        <v>0.2857142857142857</v>
      </c>
      <c r="O56" s="330">
        <f>SUM(I56:K56)/H56</f>
        <v>0.7142857142857143</v>
      </c>
      <c r="P56" s="56" t="s">
        <v>1976</v>
      </c>
      <c r="Q56" s="56"/>
      <c r="R56" s="139" t="s">
        <v>4259</v>
      </c>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BA56" s="141">
        <f t="shared" si="13"/>
        <v>1</v>
      </c>
    </row>
    <row r="57" spans="1:53" s="140" customFormat="1" ht="12" customHeight="1" x14ac:dyDescent="0.15">
      <c r="A57" s="58" t="s">
        <v>1528</v>
      </c>
      <c r="B57" s="58" t="s">
        <v>112</v>
      </c>
      <c r="C57" s="58" t="s">
        <v>385</v>
      </c>
      <c r="D57" s="58" t="s">
        <v>386</v>
      </c>
      <c r="E57" s="58" t="s">
        <v>1361</v>
      </c>
      <c r="F57" s="137">
        <v>39913</v>
      </c>
      <c r="G57" s="138">
        <v>3500</v>
      </c>
      <c r="H57" s="139">
        <v>13</v>
      </c>
      <c r="I57" s="139">
        <v>6</v>
      </c>
      <c r="J57" s="139">
        <v>3</v>
      </c>
      <c r="K57" s="139">
        <v>1</v>
      </c>
      <c r="L57" s="138">
        <f>63820+21483+6860+250+13626</f>
        <v>106039</v>
      </c>
      <c r="M57" s="138">
        <f t="shared" si="14"/>
        <v>8156.8461538461543</v>
      </c>
      <c r="N57" s="330">
        <f t="shared" si="15"/>
        <v>0.46153846153846156</v>
      </c>
      <c r="O57" s="330">
        <f t="shared" si="16"/>
        <v>0.76923076923076927</v>
      </c>
      <c r="P57" s="56" t="s">
        <v>1976</v>
      </c>
      <c r="Q57" s="56" t="s">
        <v>2010</v>
      </c>
      <c r="R57" s="139" t="s">
        <v>2375</v>
      </c>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BA57" s="141">
        <f t="shared" si="13"/>
        <v>1</v>
      </c>
    </row>
    <row r="58" spans="1:53" s="140" customFormat="1" ht="12" customHeight="1" x14ac:dyDescent="0.15">
      <c r="A58" s="58" t="s">
        <v>1530</v>
      </c>
      <c r="B58" s="58" t="s">
        <v>2137</v>
      </c>
      <c r="C58" s="58" t="s">
        <v>364</v>
      </c>
      <c r="D58" s="58" t="s">
        <v>365</v>
      </c>
      <c r="E58" s="58" t="s">
        <v>1351</v>
      </c>
      <c r="F58" s="137">
        <v>39844</v>
      </c>
      <c r="G58" s="138">
        <v>45388</v>
      </c>
      <c r="H58" s="139">
        <v>9</v>
      </c>
      <c r="I58" s="139">
        <v>4</v>
      </c>
      <c r="J58" s="139">
        <v>1</v>
      </c>
      <c r="K58" s="139">
        <v>1</v>
      </c>
      <c r="L58" s="138">
        <f>13236+40208+42509+2048+44122+105084+3416+12784+1500</f>
        <v>264907</v>
      </c>
      <c r="M58" s="138">
        <f>L58/H58</f>
        <v>29434.111111111109</v>
      </c>
      <c r="N58" s="330">
        <f>I58/H58</f>
        <v>0.44444444444444442</v>
      </c>
      <c r="O58" s="330">
        <f>SUM(I58:K58)/H58</f>
        <v>0.66666666666666663</v>
      </c>
      <c r="P58" s="56" t="s">
        <v>1976</v>
      </c>
      <c r="Q58" s="56"/>
      <c r="R58" s="139" t="s">
        <v>5271</v>
      </c>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BA58" s="141">
        <f t="shared" si="13"/>
        <v>1</v>
      </c>
    </row>
    <row r="59" spans="1:53" s="140" customFormat="1" ht="12" customHeight="1" x14ac:dyDescent="0.15">
      <c r="A59" s="58" t="s">
        <v>1518</v>
      </c>
      <c r="B59" s="58" t="s">
        <v>1513</v>
      </c>
      <c r="C59" s="58" t="s">
        <v>402</v>
      </c>
      <c r="D59" s="58" t="s">
        <v>803</v>
      </c>
      <c r="E59" s="58" t="s">
        <v>1459</v>
      </c>
      <c r="F59" s="137">
        <v>39840</v>
      </c>
      <c r="G59" s="138">
        <v>14000</v>
      </c>
      <c r="H59" s="139">
        <v>14</v>
      </c>
      <c r="I59" s="139">
        <v>9</v>
      </c>
      <c r="J59" s="139">
        <v>2</v>
      </c>
      <c r="K59" s="139">
        <v>1</v>
      </c>
      <c r="L59" s="138">
        <f>348112+49382+91884+0+50720+0</f>
        <v>540098</v>
      </c>
      <c r="M59" s="138">
        <f t="shared" ref="M59:M66" si="17">L59/H59</f>
        <v>38578.428571428572</v>
      </c>
      <c r="N59" s="330">
        <f t="shared" ref="N59:N66" si="18">I59/H59</f>
        <v>0.6428571428571429</v>
      </c>
      <c r="O59" s="330">
        <f t="shared" ref="O59:O66" si="19">SUM(I59:K59)/H59</f>
        <v>0.8571428571428571</v>
      </c>
      <c r="P59" s="56" t="s">
        <v>2282</v>
      </c>
      <c r="Q59" s="56"/>
      <c r="R59" s="139" t="s">
        <v>2283</v>
      </c>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BA59" s="141">
        <f t="shared" si="13"/>
        <v>1</v>
      </c>
    </row>
    <row r="60" spans="1:53" s="90" customFormat="1" ht="12" customHeight="1" x14ac:dyDescent="0.15">
      <c r="A60" s="142" t="s">
        <v>89</v>
      </c>
      <c r="B60" s="142" t="s">
        <v>1511</v>
      </c>
      <c r="C60" s="142" t="s">
        <v>426</v>
      </c>
      <c r="D60" s="142" t="s">
        <v>1043</v>
      </c>
      <c r="E60" s="142" t="s">
        <v>1434</v>
      </c>
      <c r="F60" s="143">
        <v>39848</v>
      </c>
      <c r="G60" s="144">
        <v>15000</v>
      </c>
      <c r="H60" s="145">
        <v>3</v>
      </c>
      <c r="I60" s="145">
        <v>0</v>
      </c>
      <c r="J60" s="145">
        <v>0</v>
      </c>
      <c r="K60" s="145">
        <v>1</v>
      </c>
      <c r="L60" s="144">
        <f>43+0</f>
        <v>43</v>
      </c>
      <c r="M60" s="144">
        <f>L60/H60</f>
        <v>14.333333333333334</v>
      </c>
      <c r="N60" s="331">
        <f>I60/H60</f>
        <v>0</v>
      </c>
      <c r="O60" s="331">
        <f>SUM(I60:K60)/H60</f>
        <v>0.33333333333333331</v>
      </c>
      <c r="P60" s="147" t="s">
        <v>4644</v>
      </c>
      <c r="Q60" s="147" t="s">
        <v>2015</v>
      </c>
      <c r="R60" s="142" t="s">
        <v>4643</v>
      </c>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BA60" s="141">
        <f>IF(I60="","",IF(I60=0,0,1))</f>
        <v>0</v>
      </c>
    </row>
    <row r="61" spans="1:53" s="90" customFormat="1" ht="12" customHeight="1" x14ac:dyDescent="0.15">
      <c r="A61" s="142" t="s">
        <v>1296</v>
      </c>
      <c r="B61" s="142" t="s">
        <v>111</v>
      </c>
      <c r="C61" s="142" t="s">
        <v>1150</v>
      </c>
      <c r="D61" s="142" t="s">
        <v>610</v>
      </c>
      <c r="E61" s="142" t="s">
        <v>149</v>
      </c>
      <c r="F61" s="143">
        <v>39902</v>
      </c>
      <c r="G61" s="144">
        <v>14000</v>
      </c>
      <c r="H61" s="145">
        <v>3</v>
      </c>
      <c r="I61" s="145">
        <v>0</v>
      </c>
      <c r="J61" s="145">
        <v>1</v>
      </c>
      <c r="K61" s="145">
        <v>0</v>
      </c>
      <c r="L61" s="144">
        <f>556</f>
        <v>556</v>
      </c>
      <c r="M61" s="144">
        <f t="shared" si="17"/>
        <v>185.33333333333334</v>
      </c>
      <c r="N61" s="331">
        <f t="shared" si="18"/>
        <v>0</v>
      </c>
      <c r="O61" s="331">
        <f t="shared" si="19"/>
        <v>0.33333333333333331</v>
      </c>
      <c r="P61" s="147" t="s">
        <v>1689</v>
      </c>
      <c r="Q61" s="147" t="s">
        <v>1267</v>
      </c>
      <c r="R61" s="142" t="s">
        <v>3315</v>
      </c>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BA61" s="141">
        <f t="shared" si="13"/>
        <v>0</v>
      </c>
    </row>
    <row r="62" spans="1:53" s="90" customFormat="1" ht="12" customHeight="1" x14ac:dyDescent="0.15">
      <c r="A62" s="142" t="s">
        <v>1824</v>
      </c>
      <c r="B62" s="142" t="s">
        <v>2139</v>
      </c>
      <c r="C62" s="142" t="s">
        <v>1014</v>
      </c>
      <c r="D62" s="142" t="s">
        <v>1317</v>
      </c>
      <c r="E62" s="142" t="s">
        <v>1680</v>
      </c>
      <c r="F62" s="143">
        <v>39896</v>
      </c>
      <c r="G62" s="144"/>
      <c r="H62" s="145">
        <v>3</v>
      </c>
      <c r="I62" s="145">
        <v>0</v>
      </c>
      <c r="J62" s="145">
        <v>0</v>
      </c>
      <c r="K62" s="145">
        <v>1</v>
      </c>
      <c r="L62" s="144">
        <f>209+733</f>
        <v>942</v>
      </c>
      <c r="M62" s="144">
        <f t="shared" si="17"/>
        <v>314</v>
      </c>
      <c r="N62" s="331">
        <f t="shared" si="18"/>
        <v>0</v>
      </c>
      <c r="O62" s="331">
        <f t="shared" si="19"/>
        <v>0.33333333333333331</v>
      </c>
      <c r="P62" s="147" t="s">
        <v>1916</v>
      </c>
      <c r="Q62" s="147" t="s">
        <v>1624</v>
      </c>
      <c r="R62" s="142" t="s">
        <v>3361</v>
      </c>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BA62" s="141">
        <f t="shared" si="13"/>
        <v>0</v>
      </c>
    </row>
    <row r="63" spans="1:53" s="90" customFormat="1" ht="12" customHeight="1" x14ac:dyDescent="0.15">
      <c r="A63" s="142" t="s">
        <v>1823</v>
      </c>
      <c r="B63" s="142" t="s">
        <v>1511</v>
      </c>
      <c r="C63" s="142" t="s">
        <v>1197</v>
      </c>
      <c r="D63" s="142" t="s">
        <v>1198</v>
      </c>
      <c r="E63" s="142" t="s">
        <v>1366</v>
      </c>
      <c r="F63" s="143">
        <v>39952</v>
      </c>
      <c r="G63" s="144"/>
      <c r="H63" s="145">
        <v>2</v>
      </c>
      <c r="I63" s="145">
        <v>0</v>
      </c>
      <c r="J63" s="145">
        <v>0</v>
      </c>
      <c r="K63" s="145">
        <v>0</v>
      </c>
      <c r="L63" s="144">
        <f>200+2050</f>
        <v>2250</v>
      </c>
      <c r="M63" s="144">
        <f>L63/H63</f>
        <v>1125</v>
      </c>
      <c r="N63" s="331">
        <f>I63/H63</f>
        <v>0</v>
      </c>
      <c r="O63" s="331">
        <f>SUM(I63:K63)/H63</f>
        <v>0</v>
      </c>
      <c r="P63" s="147" t="s">
        <v>1689</v>
      </c>
      <c r="Q63" s="147" t="s">
        <v>1778</v>
      </c>
      <c r="R63" s="142" t="s">
        <v>3383</v>
      </c>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BA63" s="141">
        <f t="shared" si="13"/>
        <v>0</v>
      </c>
    </row>
    <row r="64" spans="1:53" s="90" customFormat="1" ht="12" customHeight="1" x14ac:dyDescent="0.15">
      <c r="A64" s="142" t="s">
        <v>1519</v>
      </c>
      <c r="B64" s="142" t="s">
        <v>447</v>
      </c>
      <c r="C64" s="142" t="s">
        <v>1178</v>
      </c>
      <c r="D64" s="142" t="s">
        <v>1179</v>
      </c>
      <c r="E64" s="142" t="s">
        <v>1338</v>
      </c>
      <c r="F64" s="143">
        <v>39927</v>
      </c>
      <c r="G64" s="144">
        <v>60000</v>
      </c>
      <c r="H64" s="145">
        <v>3</v>
      </c>
      <c r="I64" s="145">
        <v>0</v>
      </c>
      <c r="J64" s="145">
        <v>0</v>
      </c>
      <c r="K64" s="145">
        <v>0</v>
      </c>
      <c r="L64" s="144">
        <f>3300+220</f>
        <v>3520</v>
      </c>
      <c r="M64" s="144">
        <f t="shared" si="17"/>
        <v>1173.3333333333333</v>
      </c>
      <c r="N64" s="331">
        <f t="shared" si="18"/>
        <v>0</v>
      </c>
      <c r="O64" s="331">
        <f t="shared" si="19"/>
        <v>0</v>
      </c>
      <c r="P64" s="147" t="s">
        <v>1648</v>
      </c>
      <c r="Q64" s="147" t="s">
        <v>12</v>
      </c>
      <c r="R64" s="142" t="s">
        <v>1647</v>
      </c>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BA64" s="141">
        <f t="shared" ref="BA64:BA82" si="20">IF(I64="","",IF(I64=0,0,1))</f>
        <v>0</v>
      </c>
    </row>
    <row r="65" spans="1:53" s="90" customFormat="1" ht="12" customHeight="1" x14ac:dyDescent="0.15">
      <c r="A65" s="142" t="s">
        <v>1540</v>
      </c>
      <c r="B65" s="142" t="s">
        <v>2138</v>
      </c>
      <c r="C65" s="142" t="s">
        <v>440</v>
      </c>
      <c r="D65" s="142" t="s">
        <v>427</v>
      </c>
      <c r="E65" s="142" t="s">
        <v>1362</v>
      </c>
      <c r="F65" s="143">
        <v>39841</v>
      </c>
      <c r="G65" s="144">
        <v>29000</v>
      </c>
      <c r="H65" s="145">
        <v>3</v>
      </c>
      <c r="I65" s="145">
        <v>0</v>
      </c>
      <c r="J65" s="145">
        <v>1</v>
      </c>
      <c r="K65" s="145">
        <v>1</v>
      </c>
      <c r="L65" s="144">
        <f>5670+2970+1584</f>
        <v>10224</v>
      </c>
      <c r="M65" s="144">
        <f t="shared" si="17"/>
        <v>3408</v>
      </c>
      <c r="N65" s="331">
        <f t="shared" si="18"/>
        <v>0</v>
      </c>
      <c r="O65" s="331">
        <f t="shared" si="19"/>
        <v>0.66666666666666663</v>
      </c>
      <c r="P65" s="147" t="s">
        <v>1976</v>
      </c>
      <c r="Q65" s="147"/>
      <c r="R65" s="142" t="s">
        <v>3259</v>
      </c>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BA65" s="141">
        <f>IF(I65="","",IF(I65=0,0,1))</f>
        <v>0</v>
      </c>
    </row>
    <row r="66" spans="1:53" s="90" customFormat="1" ht="12" customHeight="1" x14ac:dyDescent="0.15">
      <c r="A66" s="142" t="s">
        <v>1553</v>
      </c>
      <c r="B66" s="142" t="s">
        <v>23</v>
      </c>
      <c r="C66" s="142" t="s">
        <v>1182</v>
      </c>
      <c r="D66" s="142" t="s">
        <v>725</v>
      </c>
      <c r="E66" s="142" t="s">
        <v>1461</v>
      </c>
      <c r="F66" s="143">
        <v>39967</v>
      </c>
      <c r="G66" s="144"/>
      <c r="H66" s="145">
        <v>6</v>
      </c>
      <c r="I66" s="145">
        <v>0</v>
      </c>
      <c r="J66" s="145">
        <v>1</v>
      </c>
      <c r="K66" s="145">
        <v>0</v>
      </c>
      <c r="L66" s="144">
        <f>11084+2750</f>
        <v>13834</v>
      </c>
      <c r="M66" s="144">
        <f t="shared" si="17"/>
        <v>2305.6666666666665</v>
      </c>
      <c r="N66" s="331">
        <f t="shared" si="18"/>
        <v>0</v>
      </c>
      <c r="O66" s="331">
        <f t="shared" si="19"/>
        <v>0.16666666666666666</v>
      </c>
      <c r="P66" s="147" t="s">
        <v>1689</v>
      </c>
      <c r="Q66" s="147" t="s">
        <v>344</v>
      </c>
      <c r="R66" s="142" t="s">
        <v>3285</v>
      </c>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BA66" s="141">
        <f>IF(I66="","",IF(I66=0,0,1))</f>
        <v>0</v>
      </c>
    </row>
    <row r="67" spans="1:53" s="90" customFormat="1" ht="12" customHeight="1" x14ac:dyDescent="0.15">
      <c r="A67" s="51" t="s">
        <v>126</v>
      </c>
      <c r="B67" s="51" t="s">
        <v>111</v>
      </c>
      <c r="C67" s="51" t="s">
        <v>144</v>
      </c>
      <c r="D67" s="51" t="s">
        <v>608</v>
      </c>
      <c r="E67" s="51" t="s">
        <v>1344</v>
      </c>
      <c r="F67" s="85">
        <v>39893</v>
      </c>
      <c r="G67" s="86"/>
      <c r="H67" s="87"/>
      <c r="I67" s="87"/>
      <c r="J67" s="87"/>
      <c r="K67" s="87"/>
      <c r="L67" s="86" t="s">
        <v>391</v>
      </c>
      <c r="M67" s="86"/>
      <c r="N67" s="333" t="str">
        <f t="shared" ref="N67:N85" si="21">IF(H67="","--",I67/H67)</f>
        <v>--</v>
      </c>
      <c r="O67" s="333" t="str">
        <f t="shared" ref="O67:O85" si="22">IF(H67="","--",SUM(I67:K67)/H67)</f>
        <v>--</v>
      </c>
      <c r="P67" s="89" t="s">
        <v>1689</v>
      </c>
      <c r="Q67" s="89"/>
      <c r="R67" s="51" t="s">
        <v>1954</v>
      </c>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13"/>
      <c r="BA67" s="141" t="str">
        <f t="shared" si="20"/>
        <v/>
      </c>
    </row>
    <row r="68" spans="1:53" s="90" customFormat="1" ht="12" customHeight="1" x14ac:dyDescent="0.15">
      <c r="A68" s="51" t="s">
        <v>1542</v>
      </c>
      <c r="B68" s="51" t="s">
        <v>3095</v>
      </c>
      <c r="C68" s="51" t="s">
        <v>1543</v>
      </c>
      <c r="D68" s="51" t="s">
        <v>1544</v>
      </c>
      <c r="E68" s="51" t="s">
        <v>1545</v>
      </c>
      <c r="F68" s="85">
        <v>39936</v>
      </c>
      <c r="G68" s="86"/>
      <c r="H68" s="87"/>
      <c r="I68" s="87"/>
      <c r="J68" s="87"/>
      <c r="K68" s="87"/>
      <c r="L68" s="86" t="s">
        <v>391</v>
      </c>
      <c r="M68" s="86"/>
      <c r="N68" s="333" t="str">
        <f t="shared" si="21"/>
        <v>--</v>
      </c>
      <c r="O68" s="333" t="str">
        <f t="shared" si="22"/>
        <v>--</v>
      </c>
      <c r="P68" s="89" t="s">
        <v>1689</v>
      </c>
      <c r="Q68" s="89"/>
      <c r="R68" s="51" t="s">
        <v>2391</v>
      </c>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13"/>
      <c r="BA68" s="141" t="str">
        <f t="shared" si="20"/>
        <v/>
      </c>
    </row>
    <row r="69" spans="1:53" s="90" customFormat="1" ht="12" customHeight="1" x14ac:dyDescent="0.15">
      <c r="A69" s="51" t="s">
        <v>1143</v>
      </c>
      <c r="B69" s="51" t="s">
        <v>112</v>
      </c>
      <c r="C69" s="51" t="s">
        <v>1149</v>
      </c>
      <c r="D69" s="51" t="s">
        <v>824</v>
      </c>
      <c r="E69" s="51" t="s">
        <v>414</v>
      </c>
      <c r="F69" s="85">
        <v>39900</v>
      </c>
      <c r="G69" s="86">
        <v>8500</v>
      </c>
      <c r="H69" s="87"/>
      <c r="I69" s="87"/>
      <c r="J69" s="87"/>
      <c r="K69" s="87"/>
      <c r="L69" s="86" t="s">
        <v>391</v>
      </c>
      <c r="M69" s="86"/>
      <c r="N69" s="333" t="str">
        <f>IF(H69="","--",I69/H69)</f>
        <v>--</v>
      </c>
      <c r="O69" s="333" t="str">
        <f>IF(H69="","--",SUM(I69:K69)/H69)</f>
        <v>--</v>
      </c>
      <c r="P69" s="89" t="s">
        <v>1604</v>
      </c>
      <c r="Q69" s="89"/>
      <c r="R69" s="51" t="s">
        <v>2309</v>
      </c>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13"/>
      <c r="BA69" s="141" t="str">
        <f t="shared" si="20"/>
        <v/>
      </c>
    </row>
    <row r="70" spans="1:53" s="90" customFormat="1" ht="12" customHeight="1" x14ac:dyDescent="0.15">
      <c r="A70" s="51" t="s">
        <v>1686</v>
      </c>
      <c r="B70" s="51" t="s">
        <v>111</v>
      </c>
      <c r="C70" s="51" t="s">
        <v>397</v>
      </c>
      <c r="D70" s="51" t="s">
        <v>398</v>
      </c>
      <c r="E70" s="51" t="s">
        <v>1354</v>
      </c>
      <c r="F70" s="85">
        <v>39895</v>
      </c>
      <c r="G70" s="86">
        <v>10000</v>
      </c>
      <c r="H70" s="87"/>
      <c r="I70" s="87"/>
      <c r="J70" s="87"/>
      <c r="K70" s="87"/>
      <c r="L70" s="86" t="s">
        <v>391</v>
      </c>
      <c r="M70" s="86"/>
      <c r="N70" s="333" t="str">
        <f t="shared" si="21"/>
        <v>--</v>
      </c>
      <c r="O70" s="333" t="str">
        <f t="shared" si="22"/>
        <v>--</v>
      </c>
      <c r="P70" s="89" t="s">
        <v>1689</v>
      </c>
      <c r="Q70" s="89"/>
      <c r="R70" s="51" t="s">
        <v>2065</v>
      </c>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13"/>
      <c r="BA70" s="141" t="str">
        <f t="shared" si="20"/>
        <v/>
      </c>
    </row>
    <row r="71" spans="1:53" s="90" customFormat="1" ht="12" customHeight="1" x14ac:dyDescent="0.15">
      <c r="A71" s="51" t="s">
        <v>1566</v>
      </c>
      <c r="B71" s="51" t="s">
        <v>1921</v>
      </c>
      <c r="C71" s="51" t="s">
        <v>586</v>
      </c>
      <c r="D71" s="51" t="s">
        <v>915</v>
      </c>
      <c r="E71" s="51" t="s">
        <v>1327</v>
      </c>
      <c r="F71" s="85">
        <v>39941</v>
      </c>
      <c r="G71" s="86">
        <v>111282</v>
      </c>
      <c r="H71" s="87"/>
      <c r="I71" s="87"/>
      <c r="J71" s="87"/>
      <c r="K71" s="87"/>
      <c r="L71" s="86" t="s">
        <v>391</v>
      </c>
      <c r="M71" s="86"/>
      <c r="N71" s="333" t="str">
        <f>IF(H71="","--",I71/H71)</f>
        <v>--</v>
      </c>
      <c r="O71" s="333" t="str">
        <f>IF(H71="","--",SUM(I71:K71)/H71)</f>
        <v>--</v>
      </c>
      <c r="P71" s="89" t="s">
        <v>1976</v>
      </c>
      <c r="Q71" s="89" t="s">
        <v>1321</v>
      </c>
      <c r="R71" s="51" t="s">
        <v>3324</v>
      </c>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13"/>
      <c r="BA71" s="141" t="str">
        <f t="shared" si="20"/>
        <v/>
      </c>
    </row>
    <row r="72" spans="1:53" s="90" customFormat="1" ht="12" customHeight="1" x14ac:dyDescent="0.15">
      <c r="A72" s="51" t="s">
        <v>77</v>
      </c>
      <c r="B72" s="51" t="s">
        <v>95</v>
      </c>
      <c r="C72" s="51" t="s">
        <v>1110</v>
      </c>
      <c r="D72" s="51" t="s">
        <v>753</v>
      </c>
      <c r="E72" s="51" t="s">
        <v>646</v>
      </c>
      <c r="F72" s="85">
        <v>39814</v>
      </c>
      <c r="G72" s="86">
        <v>4000</v>
      </c>
      <c r="H72" s="87"/>
      <c r="I72" s="87"/>
      <c r="J72" s="87"/>
      <c r="K72" s="87"/>
      <c r="L72" s="86" t="s">
        <v>391</v>
      </c>
      <c r="M72" s="86"/>
      <c r="N72" s="333" t="str">
        <f t="shared" si="21"/>
        <v>--</v>
      </c>
      <c r="O72" s="333" t="str">
        <f t="shared" si="22"/>
        <v>--</v>
      </c>
      <c r="P72" s="89" t="s">
        <v>1689</v>
      </c>
      <c r="Q72" s="89"/>
      <c r="R72" s="51" t="s">
        <v>3386</v>
      </c>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13"/>
      <c r="BA72" s="141" t="str">
        <f t="shared" si="20"/>
        <v/>
      </c>
    </row>
    <row r="73" spans="1:53" s="90" customFormat="1" ht="12" customHeight="1" x14ac:dyDescent="0.15">
      <c r="A73" s="51" t="s">
        <v>1443</v>
      </c>
      <c r="B73" s="51" t="s">
        <v>102</v>
      </c>
      <c r="C73" s="51" t="s">
        <v>554</v>
      </c>
      <c r="D73" s="51" t="s">
        <v>698</v>
      </c>
      <c r="E73" s="51" t="s">
        <v>1399</v>
      </c>
      <c r="F73" s="85">
        <v>39929</v>
      </c>
      <c r="G73" s="86">
        <v>7500</v>
      </c>
      <c r="H73" s="87"/>
      <c r="I73" s="87"/>
      <c r="J73" s="87"/>
      <c r="K73" s="87"/>
      <c r="L73" s="86" t="s">
        <v>391</v>
      </c>
      <c r="M73" s="86"/>
      <c r="N73" s="333" t="str">
        <f>IF(H73="","--",I73/H73)</f>
        <v>--</v>
      </c>
      <c r="O73" s="333" t="str">
        <f>IF(H73="","--",SUM(I73:K73)/H73)</f>
        <v>--</v>
      </c>
      <c r="P73" s="89" t="s">
        <v>1708</v>
      </c>
      <c r="Q73" s="89"/>
      <c r="R73" s="51" t="s">
        <v>1403</v>
      </c>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13"/>
      <c r="BA73" s="141" t="str">
        <f t="shared" si="20"/>
        <v/>
      </c>
    </row>
    <row r="74" spans="1:53" s="90" customFormat="1" ht="12" customHeight="1" x14ac:dyDescent="0.15">
      <c r="A74" s="51" t="s">
        <v>1832</v>
      </c>
      <c r="B74" s="51" t="s">
        <v>1921</v>
      </c>
      <c r="C74" s="51" t="s">
        <v>1254</v>
      </c>
      <c r="D74" s="51" t="s">
        <v>1255</v>
      </c>
      <c r="E74" s="51" t="s">
        <v>1424</v>
      </c>
      <c r="F74" s="85">
        <v>39920</v>
      </c>
      <c r="G74" s="86"/>
      <c r="H74" s="87"/>
      <c r="I74" s="87"/>
      <c r="J74" s="87"/>
      <c r="K74" s="87"/>
      <c r="L74" s="86" t="s">
        <v>391</v>
      </c>
      <c r="M74" s="86"/>
      <c r="N74" s="333" t="str">
        <f t="shared" si="21"/>
        <v>--</v>
      </c>
      <c r="O74" s="333" t="str">
        <f t="shared" si="22"/>
        <v>--</v>
      </c>
      <c r="P74" s="89" t="s">
        <v>1708</v>
      </c>
      <c r="Q74" s="89"/>
      <c r="R74" s="51" t="s">
        <v>3337</v>
      </c>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13"/>
      <c r="BA74" s="141" t="str">
        <f t="shared" si="20"/>
        <v/>
      </c>
    </row>
    <row r="75" spans="1:53" s="90" customFormat="1" ht="12" customHeight="1" x14ac:dyDescent="0.15">
      <c r="A75" s="51" t="s">
        <v>1405</v>
      </c>
      <c r="B75" s="51" t="s">
        <v>348</v>
      </c>
      <c r="C75" s="51" t="s">
        <v>389</v>
      </c>
      <c r="D75" s="51" t="s">
        <v>753</v>
      </c>
      <c r="E75" s="51" t="s">
        <v>646</v>
      </c>
      <c r="F75" s="85">
        <v>39829</v>
      </c>
      <c r="G75" s="86"/>
      <c r="H75" s="87"/>
      <c r="I75" s="87"/>
      <c r="J75" s="87"/>
      <c r="K75" s="87"/>
      <c r="L75" s="86" t="s">
        <v>391</v>
      </c>
      <c r="M75" s="86"/>
      <c r="N75" s="333" t="str">
        <f>IF(H75="","--",I75/H75)</f>
        <v>--</v>
      </c>
      <c r="O75" s="333" t="str">
        <f>IF(H75="","--",SUM(I75:K75)/H75)</f>
        <v>--</v>
      </c>
      <c r="P75" s="89" t="s">
        <v>1689</v>
      </c>
      <c r="Q75" s="89"/>
      <c r="R75" s="51" t="s">
        <v>3350</v>
      </c>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13"/>
      <c r="BA75" s="141" t="str">
        <f>IF(I75="","",IF(I75=0,0,1))</f>
        <v/>
      </c>
    </row>
    <row r="76" spans="1:53" s="90" customFormat="1" ht="12" customHeight="1" x14ac:dyDescent="0.15">
      <c r="A76" s="51" t="s">
        <v>1969</v>
      </c>
      <c r="B76" s="51" t="s">
        <v>481</v>
      </c>
      <c r="C76" s="51" t="s">
        <v>1188</v>
      </c>
      <c r="D76" s="51" t="s">
        <v>1189</v>
      </c>
      <c r="E76" s="51" t="s">
        <v>1454</v>
      </c>
      <c r="F76" s="85">
        <v>39949</v>
      </c>
      <c r="G76" s="86">
        <v>5500</v>
      </c>
      <c r="H76" s="87"/>
      <c r="I76" s="87"/>
      <c r="J76" s="87"/>
      <c r="K76" s="87"/>
      <c r="L76" s="86" t="s">
        <v>391</v>
      </c>
      <c r="M76" s="86"/>
      <c r="N76" s="333" t="str">
        <f>IF(H76="","--",I76/H76)</f>
        <v>--</v>
      </c>
      <c r="O76" s="333" t="str">
        <f>IF(H76="","--",SUM(I76:K76)/H76)</f>
        <v>--</v>
      </c>
      <c r="P76" s="89" t="s">
        <v>2075</v>
      </c>
      <c r="Q76" s="89" t="s">
        <v>1258</v>
      </c>
      <c r="R76" s="51" t="s">
        <v>2107</v>
      </c>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13"/>
      <c r="BA76" s="141" t="str">
        <f t="shared" si="20"/>
        <v/>
      </c>
    </row>
    <row r="77" spans="1:53" s="90" customFormat="1" ht="12" customHeight="1" x14ac:dyDescent="0.15">
      <c r="A77" s="51" t="s">
        <v>1157</v>
      </c>
      <c r="B77" s="51" t="s">
        <v>3096</v>
      </c>
      <c r="C77" s="51" t="s">
        <v>1144</v>
      </c>
      <c r="D77" s="51" t="s">
        <v>1145</v>
      </c>
      <c r="E77" s="51" t="s">
        <v>1343</v>
      </c>
      <c r="F77" s="85">
        <v>39889</v>
      </c>
      <c r="G77" s="86"/>
      <c r="H77" s="87"/>
      <c r="I77" s="87"/>
      <c r="J77" s="87"/>
      <c r="K77" s="87"/>
      <c r="L77" s="86" t="s">
        <v>391</v>
      </c>
      <c r="M77" s="86"/>
      <c r="N77" s="333" t="str">
        <f t="shared" si="21"/>
        <v>--</v>
      </c>
      <c r="O77" s="333" t="str">
        <f t="shared" si="22"/>
        <v>--</v>
      </c>
      <c r="P77" s="89" t="s">
        <v>1689</v>
      </c>
      <c r="Q77" s="89"/>
      <c r="R77" s="51" t="s">
        <v>1906</v>
      </c>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13"/>
      <c r="BA77" s="141" t="str">
        <f t="shared" si="20"/>
        <v/>
      </c>
    </row>
    <row r="78" spans="1:53" s="90" customFormat="1" ht="12" customHeight="1" x14ac:dyDescent="0.15">
      <c r="A78" s="51" t="s">
        <v>1316</v>
      </c>
      <c r="B78" s="51" t="s">
        <v>441</v>
      </c>
      <c r="C78" s="51" t="s">
        <v>921</v>
      </c>
      <c r="D78" s="51" t="s">
        <v>495</v>
      </c>
      <c r="E78" s="51" t="s">
        <v>1438</v>
      </c>
      <c r="F78" s="85">
        <v>39939</v>
      </c>
      <c r="G78" s="86">
        <v>3000</v>
      </c>
      <c r="H78" s="87"/>
      <c r="I78" s="87"/>
      <c r="J78" s="87"/>
      <c r="K78" s="87"/>
      <c r="L78" s="86" t="s">
        <v>391</v>
      </c>
      <c r="M78" s="86"/>
      <c r="N78" s="333" t="str">
        <f t="shared" si="21"/>
        <v>--</v>
      </c>
      <c r="O78" s="333" t="str">
        <f t="shared" si="22"/>
        <v>--</v>
      </c>
      <c r="P78" s="89" t="s">
        <v>1689</v>
      </c>
      <c r="Q78" s="89"/>
      <c r="R78" s="51" t="s">
        <v>1908</v>
      </c>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13"/>
      <c r="BA78" s="141" t="str">
        <f t="shared" si="20"/>
        <v/>
      </c>
    </row>
    <row r="79" spans="1:53" s="90" customFormat="1" ht="12" customHeight="1" x14ac:dyDescent="0.15">
      <c r="A79" s="51" t="s">
        <v>67</v>
      </c>
      <c r="B79" s="51" t="s">
        <v>1511</v>
      </c>
      <c r="C79" s="51" t="s">
        <v>420</v>
      </c>
      <c r="D79" s="51" t="s">
        <v>824</v>
      </c>
      <c r="E79" s="51" t="s">
        <v>789</v>
      </c>
      <c r="F79" s="85">
        <v>39857</v>
      </c>
      <c r="G79" s="86">
        <v>50000</v>
      </c>
      <c r="H79" s="87"/>
      <c r="I79" s="87"/>
      <c r="J79" s="87"/>
      <c r="K79" s="87"/>
      <c r="L79" s="86" t="s">
        <v>391</v>
      </c>
      <c r="M79" s="86"/>
      <c r="N79" s="333" t="str">
        <f t="shared" si="21"/>
        <v>--</v>
      </c>
      <c r="O79" s="333" t="str">
        <f t="shared" si="22"/>
        <v>--</v>
      </c>
      <c r="P79" s="89" t="s">
        <v>1689</v>
      </c>
      <c r="Q79" s="89"/>
      <c r="R79" s="51" t="s">
        <v>1915</v>
      </c>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13"/>
      <c r="BA79" s="141" t="str">
        <f t="shared" si="20"/>
        <v/>
      </c>
    </row>
    <row r="80" spans="1:53" s="90" customFormat="1" ht="12" customHeight="1" x14ac:dyDescent="0.15">
      <c r="A80" s="51" t="s">
        <v>1551</v>
      </c>
      <c r="B80" s="51" t="s">
        <v>1511</v>
      </c>
      <c r="C80" s="51" t="s">
        <v>683</v>
      </c>
      <c r="D80" s="51" t="s">
        <v>880</v>
      </c>
      <c r="E80" s="51" t="s">
        <v>1423</v>
      </c>
      <c r="F80" s="85">
        <v>39938</v>
      </c>
      <c r="G80" s="86">
        <v>15000</v>
      </c>
      <c r="H80" s="87"/>
      <c r="I80" s="87"/>
      <c r="J80" s="87"/>
      <c r="K80" s="87"/>
      <c r="L80" s="86" t="s">
        <v>391</v>
      </c>
      <c r="M80" s="86"/>
      <c r="N80" s="333" t="str">
        <f t="shared" si="21"/>
        <v>--</v>
      </c>
      <c r="O80" s="333" t="str">
        <f t="shared" si="22"/>
        <v>--</v>
      </c>
      <c r="P80" s="89" t="s">
        <v>1601</v>
      </c>
      <c r="Q80" s="89"/>
      <c r="R80" s="51" t="s">
        <v>2069</v>
      </c>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13"/>
      <c r="BA80" s="141" t="str">
        <f t="shared" si="20"/>
        <v/>
      </c>
    </row>
    <row r="81" spans="1:56" s="90" customFormat="1" ht="12" customHeight="1" x14ac:dyDescent="0.15">
      <c r="A81" s="51" t="s">
        <v>1551</v>
      </c>
      <c r="B81" s="51" t="s">
        <v>1513</v>
      </c>
      <c r="C81" s="51" t="s">
        <v>508</v>
      </c>
      <c r="D81" s="51" t="s">
        <v>509</v>
      </c>
      <c r="E81" s="51" t="s">
        <v>298</v>
      </c>
      <c r="F81" s="85">
        <v>39938</v>
      </c>
      <c r="G81" s="86"/>
      <c r="H81" s="87"/>
      <c r="I81" s="87"/>
      <c r="J81" s="87"/>
      <c r="K81" s="87"/>
      <c r="L81" s="86" t="s">
        <v>391</v>
      </c>
      <c r="M81" s="86"/>
      <c r="N81" s="333" t="str">
        <f t="shared" si="21"/>
        <v>--</v>
      </c>
      <c r="O81" s="333" t="str">
        <f t="shared" si="22"/>
        <v>--</v>
      </c>
      <c r="P81" s="89" t="s">
        <v>1601</v>
      </c>
      <c r="Q81" s="89"/>
      <c r="R81" s="51" t="s">
        <v>2070</v>
      </c>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13"/>
      <c r="BA81" s="141" t="str">
        <f t="shared" si="20"/>
        <v/>
      </c>
    </row>
    <row r="82" spans="1:56" s="90" customFormat="1" ht="12" customHeight="1" x14ac:dyDescent="0.15">
      <c r="A82" s="51" t="s">
        <v>1551</v>
      </c>
      <c r="B82" s="51" t="s">
        <v>1933</v>
      </c>
      <c r="C82" s="51" t="s">
        <v>371</v>
      </c>
      <c r="D82" s="51" t="s">
        <v>676</v>
      </c>
      <c r="E82" s="51" t="s">
        <v>1404</v>
      </c>
      <c r="F82" s="85">
        <v>39914</v>
      </c>
      <c r="G82" s="86"/>
      <c r="H82" s="87"/>
      <c r="I82" s="87"/>
      <c r="J82" s="87"/>
      <c r="K82" s="87"/>
      <c r="L82" s="86" t="s">
        <v>391</v>
      </c>
      <c r="M82" s="86"/>
      <c r="N82" s="333" t="str">
        <f>IF(H82="","--",I82/H82)</f>
        <v>--</v>
      </c>
      <c r="O82" s="333" t="str">
        <f>IF(H82="","--",SUM(I82:K82)/H82)</f>
        <v>--</v>
      </c>
      <c r="P82" s="89" t="s">
        <v>1601</v>
      </c>
      <c r="Q82" s="89"/>
      <c r="R82" s="51" t="s">
        <v>2071</v>
      </c>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13"/>
      <c r="BA82" s="141" t="str">
        <f t="shared" si="20"/>
        <v/>
      </c>
    </row>
    <row r="83" spans="1:56" ht="12" customHeight="1" x14ac:dyDescent="0.15">
      <c r="A83" s="51" t="s">
        <v>30</v>
      </c>
      <c r="B83" s="6" t="s">
        <v>771</v>
      </c>
      <c r="C83" s="6" t="s">
        <v>1186</v>
      </c>
      <c r="D83" s="6" t="s">
        <v>1187</v>
      </c>
      <c r="F83" s="101">
        <v>39837</v>
      </c>
      <c r="H83" s="103"/>
      <c r="I83" s="103"/>
      <c r="J83" s="103"/>
      <c r="K83" s="103"/>
      <c r="L83" s="86" t="s">
        <v>391</v>
      </c>
      <c r="N83" s="333" t="str">
        <f t="shared" si="21"/>
        <v>--</v>
      </c>
      <c r="O83" s="333" t="str">
        <f t="shared" si="22"/>
        <v>--</v>
      </c>
      <c r="P83" s="103" t="s">
        <v>1661</v>
      </c>
      <c r="Q83" s="103"/>
      <c r="R83" s="6" t="s">
        <v>1251</v>
      </c>
    </row>
    <row r="84" spans="1:56" ht="12" customHeight="1" x14ac:dyDescent="0.15">
      <c r="A84" s="51" t="s">
        <v>30</v>
      </c>
      <c r="B84" s="6" t="s">
        <v>492</v>
      </c>
      <c r="C84" s="6" t="s">
        <v>1183</v>
      </c>
      <c r="D84" s="6" t="s">
        <v>1193</v>
      </c>
      <c r="F84" s="101">
        <v>39955</v>
      </c>
      <c r="H84" s="103"/>
      <c r="I84" s="103"/>
      <c r="J84" s="103"/>
      <c r="K84" s="103"/>
      <c r="L84" s="86" t="s">
        <v>391</v>
      </c>
      <c r="N84" s="333" t="str">
        <f t="shared" si="21"/>
        <v>--</v>
      </c>
      <c r="O84" s="333" t="str">
        <f t="shared" si="22"/>
        <v>--</v>
      </c>
      <c r="P84" s="103" t="s">
        <v>1661</v>
      </c>
      <c r="Q84" s="103"/>
      <c r="R84" s="6" t="s">
        <v>1251</v>
      </c>
    </row>
    <row r="85" spans="1:56" s="90" customFormat="1" ht="12" customHeight="1" x14ac:dyDescent="0.15">
      <c r="A85" s="51" t="s">
        <v>30</v>
      </c>
      <c r="B85" s="51" t="s">
        <v>492</v>
      </c>
      <c r="C85" s="51" t="s">
        <v>746</v>
      </c>
      <c r="D85" s="51" t="s">
        <v>899</v>
      </c>
      <c r="E85" s="51" t="s">
        <v>1365</v>
      </c>
      <c r="F85" s="85">
        <v>39914</v>
      </c>
      <c r="G85" s="86"/>
      <c r="H85" s="87"/>
      <c r="I85" s="87"/>
      <c r="J85" s="87"/>
      <c r="K85" s="87"/>
      <c r="L85" s="86" t="s">
        <v>391</v>
      </c>
      <c r="M85" s="86"/>
      <c r="N85" s="333" t="str">
        <f t="shared" si="21"/>
        <v>--</v>
      </c>
      <c r="O85" s="333" t="str">
        <f t="shared" si="22"/>
        <v>--</v>
      </c>
      <c r="P85" s="89" t="s">
        <v>1649</v>
      </c>
      <c r="Q85" s="89"/>
      <c r="R85" s="51" t="s">
        <v>1907</v>
      </c>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13"/>
      <c r="BA85" s="141" t="str">
        <f>IF(I85="","",IF(I85=0,0,1))</f>
        <v/>
      </c>
    </row>
    <row r="86" spans="1:56" s="90" customFormat="1" ht="12" customHeight="1" x14ac:dyDescent="0.15">
      <c r="A86" s="70"/>
      <c r="B86" s="70"/>
      <c r="C86" s="70"/>
      <c r="D86" s="70"/>
      <c r="E86" s="70"/>
      <c r="F86" s="91"/>
      <c r="G86" s="92"/>
      <c r="H86" s="93"/>
      <c r="I86" s="93"/>
      <c r="J86" s="93"/>
      <c r="K86" s="93"/>
      <c r="L86" s="92"/>
      <c r="M86" s="92"/>
      <c r="N86" s="92"/>
      <c r="O86" s="92"/>
      <c r="P86" s="95"/>
      <c r="Q86" s="95"/>
      <c r="R86" s="70"/>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13"/>
      <c r="BA86" s="141"/>
    </row>
    <row r="87" spans="1:56" s="90" customFormat="1" ht="12" customHeight="1" x14ac:dyDescent="0.15">
      <c r="A87" s="130"/>
      <c r="B87" s="70"/>
      <c r="C87" s="70"/>
      <c r="D87" s="70"/>
      <c r="E87" s="70"/>
      <c r="F87" s="91"/>
      <c r="G87" s="92"/>
      <c r="H87" s="93"/>
      <c r="I87" s="93"/>
      <c r="J87" s="93"/>
      <c r="K87" s="93"/>
      <c r="L87" s="92"/>
      <c r="M87" s="120"/>
      <c r="N87" s="120"/>
      <c r="O87" s="120"/>
      <c r="P87" s="94"/>
      <c r="Q87" s="95"/>
      <c r="R87" s="95"/>
      <c r="S87" s="67"/>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13"/>
    </row>
    <row r="88" spans="1:56" ht="12" customHeight="1" x14ac:dyDescent="0.15">
      <c r="L88" s="136"/>
      <c r="M88" s="136"/>
      <c r="N88" s="136"/>
      <c r="O88" s="136"/>
      <c r="P88" s="6"/>
      <c r="Q88" s="7"/>
      <c r="BD88" s="14"/>
    </row>
    <row r="89" spans="1:56" ht="12" customHeight="1" x14ac:dyDescent="0.15">
      <c r="D89" s="110" t="s">
        <v>3481</v>
      </c>
      <c r="L89" s="21"/>
      <c r="M89" s="21"/>
      <c r="N89" s="8"/>
      <c r="O89" s="8"/>
      <c r="P89" s="7"/>
      <c r="BA89" s="141"/>
    </row>
    <row r="90" spans="1:56" ht="12" customHeight="1" x14ac:dyDescent="0.15">
      <c r="A90" s="110"/>
      <c r="F90" s="109"/>
      <c r="G90" s="14"/>
      <c r="H90" s="6"/>
      <c r="I90" s="6"/>
      <c r="J90" s="6"/>
      <c r="K90" s="6"/>
      <c r="L90" s="14"/>
      <c r="M90" s="14"/>
      <c r="N90" s="14"/>
      <c r="O90" s="14"/>
      <c r="P90" s="7"/>
      <c r="Q90" s="7"/>
    </row>
    <row r="91" spans="1:56" ht="12" customHeight="1" x14ac:dyDescent="0.15"/>
    <row r="92" spans="1:56" ht="12" customHeight="1" x14ac:dyDescent="0.15"/>
    <row r="93" spans="1:56" s="90" customFormat="1" ht="12" customHeight="1" x14ac:dyDescent="0.15">
      <c r="A93" s="70"/>
      <c r="B93" s="70"/>
      <c r="C93" s="70"/>
      <c r="D93" s="70"/>
      <c r="E93" s="70"/>
      <c r="F93" s="91"/>
      <c r="G93" s="92"/>
      <c r="H93" s="93"/>
      <c r="I93" s="93"/>
      <c r="J93" s="93"/>
      <c r="K93" s="93"/>
      <c r="L93" s="92"/>
      <c r="M93" s="92"/>
      <c r="N93" s="92"/>
      <c r="O93" s="92"/>
      <c r="P93" s="95"/>
      <c r="Q93" s="95"/>
      <c r="R93" s="70"/>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13"/>
      <c r="BA93" s="141"/>
    </row>
    <row r="94" spans="1:56" ht="12" customHeight="1" x14ac:dyDescent="0.15">
      <c r="G94" s="11" t="s">
        <v>1573</v>
      </c>
      <c r="H94" s="75">
        <f>COUNT(H2:H85)</f>
        <v>51</v>
      </c>
      <c r="I94" s="104"/>
      <c r="J94" s="104"/>
      <c r="K94" s="104"/>
      <c r="L94" s="166"/>
      <c r="M94" s="166"/>
      <c r="N94" s="166"/>
      <c r="O94" s="166"/>
      <c r="P94" s="149"/>
      <c r="Q94" s="149"/>
    </row>
    <row r="95" spans="1:56" ht="12" customHeight="1" x14ac:dyDescent="0.15">
      <c r="G95" s="11" t="s">
        <v>1588</v>
      </c>
      <c r="H95" s="75">
        <f>BA95</f>
        <v>43</v>
      </c>
      <c r="I95" s="104"/>
      <c r="J95" s="104"/>
      <c r="K95" s="104"/>
      <c r="L95" s="166"/>
      <c r="M95" s="166"/>
      <c r="N95" s="166"/>
      <c r="O95" s="166"/>
      <c r="P95" s="149"/>
      <c r="Q95" s="149"/>
      <c r="BA95" s="14">
        <f>SUM(BA2:BA90)</f>
        <v>43</v>
      </c>
    </row>
    <row r="96" spans="1:56" ht="12" customHeight="1" x14ac:dyDescent="0.15">
      <c r="G96" s="11" t="s">
        <v>1589</v>
      </c>
      <c r="H96" s="124">
        <f>H95/H94</f>
        <v>0.84313725490196079</v>
      </c>
      <c r="I96" s="104"/>
      <c r="J96" s="104"/>
      <c r="K96" s="104"/>
      <c r="L96" s="166"/>
      <c r="M96" s="166"/>
      <c r="N96" s="166"/>
      <c r="O96" s="166"/>
      <c r="P96" s="149"/>
      <c r="Q96" s="149"/>
    </row>
    <row r="97" spans="1:53" ht="12" customHeight="1" x14ac:dyDescent="0.15">
      <c r="G97" s="166"/>
      <c r="H97" s="104"/>
      <c r="I97" s="104"/>
      <c r="J97" s="104"/>
      <c r="K97" s="104"/>
      <c r="L97" s="166"/>
      <c r="M97" s="166"/>
      <c r="N97" s="166"/>
      <c r="O97" s="166"/>
      <c r="P97" s="149"/>
      <c r="Q97" s="149"/>
    </row>
    <row r="98" spans="1:53" ht="12" customHeight="1" x14ac:dyDescent="0.15">
      <c r="A98" s="110"/>
      <c r="F98" s="109"/>
      <c r="G98" s="14"/>
      <c r="H98" s="6"/>
      <c r="I98" s="6"/>
      <c r="J98" s="6"/>
      <c r="K98" s="6"/>
      <c r="L98" s="14"/>
      <c r="M98" s="14"/>
      <c r="N98" s="14"/>
      <c r="O98" s="14"/>
      <c r="P98" s="7"/>
      <c r="Q98" s="7"/>
    </row>
    <row r="99" spans="1:53" ht="12" customHeight="1" x14ac:dyDescent="0.15">
      <c r="A99" s="167"/>
      <c r="F99" s="105" t="s">
        <v>852</v>
      </c>
      <c r="G99" s="131">
        <f>SUM(G8:G93)/COUNTA(G8:G93)</f>
        <v>24382.974999999999</v>
      </c>
      <c r="H99" s="132"/>
      <c r="I99" s="132"/>
      <c r="J99" s="132"/>
      <c r="K99" s="132"/>
      <c r="L99" s="151"/>
      <c r="M99" s="151"/>
      <c r="N99" s="151"/>
      <c r="O99" s="151"/>
      <c r="P99" s="133"/>
      <c r="Q99" s="133"/>
    </row>
    <row r="100" spans="1:53" ht="12" customHeight="1" x14ac:dyDescent="0.15">
      <c r="H100" s="103"/>
      <c r="I100" s="103"/>
      <c r="J100" s="103"/>
      <c r="K100" s="103"/>
      <c r="P100" s="103"/>
      <c r="Q100" s="103"/>
    </row>
    <row r="101" spans="1:53" ht="12" customHeight="1" x14ac:dyDescent="0.15">
      <c r="F101" s="105"/>
      <c r="G101" s="153" t="s">
        <v>1148</v>
      </c>
      <c r="H101" s="154">
        <f>SUM($H$2:H$86)</f>
        <v>1028</v>
      </c>
      <c r="I101" s="154">
        <f>SUM(I$2:I$86)</f>
        <v>194</v>
      </c>
      <c r="J101" s="154">
        <f>SUM(J$2:J$86)</f>
        <v>145</v>
      </c>
      <c r="K101" s="154">
        <f>SUM(K$2:K$86)</f>
        <v>135</v>
      </c>
      <c r="L101" s="172">
        <f>SUM(L$2:L$86)</f>
        <v>6173182</v>
      </c>
      <c r="M101" s="172"/>
      <c r="N101" s="172"/>
      <c r="O101" s="172"/>
      <c r="P101" s="155"/>
      <c r="Q101" s="155"/>
      <c r="R101" s="37" t="s">
        <v>361</v>
      </c>
    </row>
    <row r="102" spans="1:53" ht="12" customHeight="1" x14ac:dyDescent="0.15">
      <c r="F102" s="105"/>
      <c r="G102" s="173" t="s">
        <v>39</v>
      </c>
      <c r="H102" s="154"/>
      <c r="I102" s="154"/>
      <c r="J102" s="154"/>
      <c r="K102" s="154"/>
      <c r="L102" s="174">
        <f>L101/H101</f>
        <v>6005.040856031128</v>
      </c>
      <c r="M102" s="174"/>
      <c r="N102" s="174"/>
      <c r="O102" s="174"/>
      <c r="P102" s="155"/>
      <c r="Q102" s="155"/>
      <c r="R102" s="37"/>
    </row>
    <row r="103" spans="1:53" ht="12" customHeight="1" x14ac:dyDescent="0.15">
      <c r="F103" s="71"/>
      <c r="G103" s="21" t="s">
        <v>1252</v>
      </c>
      <c r="H103" s="124">
        <f>I101/H101</f>
        <v>0.18871595330739299</v>
      </c>
      <c r="L103" s="21"/>
      <c r="M103" s="21"/>
      <c r="N103" s="21"/>
      <c r="O103" s="21"/>
      <c r="P103" s="7"/>
      <c r="Q103" s="7"/>
    </row>
    <row r="104" spans="1:53" s="112" customFormat="1" ht="12" customHeight="1" x14ac:dyDescent="0.15">
      <c r="A104" s="110"/>
      <c r="B104" s="110"/>
      <c r="C104" s="110"/>
      <c r="D104" s="110"/>
      <c r="E104" s="110"/>
      <c r="F104" s="107"/>
      <c r="G104" s="21" t="s">
        <v>1253</v>
      </c>
      <c r="H104" s="124">
        <f>(SUM(I101:K101)/H101)</f>
        <v>0.46108949416342415</v>
      </c>
      <c r="I104" s="134"/>
      <c r="J104" s="134"/>
      <c r="K104" s="134"/>
      <c r="L104" s="21"/>
      <c r="M104" s="21"/>
      <c r="N104" s="21"/>
      <c r="O104" s="21"/>
      <c r="P104" s="159"/>
      <c r="Q104" s="159"/>
      <c r="R104" s="110"/>
      <c r="BA104" s="111"/>
    </row>
    <row r="105" spans="1:53" ht="12" customHeight="1" x14ac:dyDescent="0.15">
      <c r="H105" s="103"/>
      <c r="I105" s="103"/>
      <c r="J105" s="103"/>
      <c r="K105" s="103"/>
      <c r="P105" s="103"/>
      <c r="Q105" s="103"/>
    </row>
    <row r="106" spans="1:53" s="112" customFormat="1" ht="12" customHeight="1" x14ac:dyDescent="0.15">
      <c r="A106" s="126" t="s">
        <v>612</v>
      </c>
      <c r="B106" s="128"/>
      <c r="C106" s="110"/>
      <c r="D106" s="110"/>
      <c r="E106" s="110"/>
      <c r="F106" s="107"/>
      <c r="G106" s="125"/>
      <c r="H106" s="103"/>
      <c r="I106" s="103"/>
      <c r="J106" s="103"/>
      <c r="K106" s="103"/>
      <c r="L106" s="125"/>
      <c r="M106" s="125"/>
      <c r="N106" s="125"/>
      <c r="O106" s="125"/>
      <c r="P106" s="127"/>
      <c r="Q106" s="127"/>
      <c r="R106" s="134"/>
      <c r="BA106" s="111"/>
    </row>
    <row r="107" spans="1:53" ht="12" customHeight="1" x14ac:dyDescent="0.15">
      <c r="C107" s="6" t="s">
        <v>554</v>
      </c>
      <c r="D107" s="6" t="s">
        <v>698</v>
      </c>
      <c r="H107" s="103"/>
      <c r="I107" s="103"/>
      <c r="J107" s="103"/>
      <c r="K107" s="103"/>
      <c r="P107" s="103"/>
      <c r="Q107" s="103"/>
      <c r="R107" s="6" t="s">
        <v>719</v>
      </c>
    </row>
    <row r="108" spans="1:53" ht="12" customHeight="1" x14ac:dyDescent="0.15">
      <c r="C108" s="6" t="s">
        <v>740</v>
      </c>
      <c r="D108" s="6" t="s">
        <v>741</v>
      </c>
      <c r="H108" s="103"/>
      <c r="I108" s="103"/>
      <c r="J108" s="103"/>
      <c r="K108" s="103"/>
      <c r="P108" s="127"/>
      <c r="Q108" s="127"/>
      <c r="R108" s="6" t="s">
        <v>442</v>
      </c>
    </row>
    <row r="109" spans="1:53" ht="12" customHeight="1" x14ac:dyDescent="0.15">
      <c r="C109" s="6" t="s">
        <v>1014</v>
      </c>
      <c r="D109" s="6" t="s">
        <v>1006</v>
      </c>
      <c r="H109" s="103"/>
      <c r="I109" s="103"/>
      <c r="J109" s="103"/>
      <c r="K109" s="103"/>
      <c r="P109" s="103"/>
      <c r="Q109" s="103"/>
      <c r="R109" s="6" t="s">
        <v>1079</v>
      </c>
    </row>
    <row r="110" spans="1:53" ht="12" customHeight="1" x14ac:dyDescent="0.15">
      <c r="C110" s="6" t="s">
        <v>684</v>
      </c>
      <c r="D110" s="6" t="s">
        <v>1038</v>
      </c>
      <c r="H110" s="103"/>
      <c r="I110" s="103"/>
      <c r="J110" s="103"/>
      <c r="K110" s="103"/>
      <c r="P110" s="103"/>
      <c r="Q110" s="103"/>
      <c r="R110" s="6" t="s">
        <v>607</v>
      </c>
    </row>
    <row r="111" spans="1:53" ht="12" customHeight="1" x14ac:dyDescent="0.15">
      <c r="C111" s="6" t="s">
        <v>651</v>
      </c>
      <c r="D111" s="6" t="s">
        <v>510</v>
      </c>
      <c r="H111" s="103"/>
      <c r="I111" s="103"/>
      <c r="J111" s="103"/>
      <c r="K111" s="103"/>
      <c r="P111" s="103"/>
      <c r="Q111" s="103"/>
      <c r="R111" s="6" t="s">
        <v>1089</v>
      </c>
    </row>
    <row r="112" spans="1:53" ht="12" customHeight="1" x14ac:dyDescent="0.15">
      <c r="C112" s="6" t="s">
        <v>682</v>
      </c>
      <c r="D112" s="6" t="s">
        <v>1026</v>
      </c>
      <c r="H112" s="103"/>
      <c r="I112" s="103"/>
      <c r="J112" s="103"/>
      <c r="K112" s="103"/>
      <c r="P112" s="103"/>
      <c r="Q112" s="103"/>
      <c r="R112" s="6" t="s">
        <v>859</v>
      </c>
    </row>
    <row r="113" spans="1:17" ht="12" customHeight="1" x14ac:dyDescent="0.15">
      <c r="H113" s="103"/>
      <c r="I113" s="103"/>
      <c r="J113" s="103"/>
      <c r="K113" s="103"/>
      <c r="P113" s="127"/>
      <c r="Q113" s="127"/>
    </row>
    <row r="114" spans="1:17" ht="12" customHeight="1" x14ac:dyDescent="0.15">
      <c r="H114" s="103"/>
      <c r="I114" s="103"/>
      <c r="J114" s="103"/>
      <c r="K114" s="103"/>
      <c r="P114" s="127"/>
      <c r="Q114" s="127"/>
    </row>
    <row r="115" spans="1:17" ht="12" customHeight="1" x14ac:dyDescent="0.15">
      <c r="A115" s="110" t="s">
        <v>1662</v>
      </c>
      <c r="B115" s="5"/>
      <c r="H115" s="103"/>
      <c r="I115" s="103"/>
      <c r="J115" s="103"/>
      <c r="K115" s="103"/>
      <c r="P115" s="127"/>
      <c r="Q115" s="127"/>
    </row>
    <row r="116" spans="1:17" ht="12" customHeight="1" x14ac:dyDescent="0.15">
      <c r="B116" s="5"/>
      <c r="H116" s="103"/>
      <c r="I116" s="103"/>
      <c r="J116" s="103"/>
      <c r="K116" s="103"/>
      <c r="P116" s="127"/>
      <c r="Q116" s="127"/>
    </row>
    <row r="117" spans="1:17" ht="13" x14ac:dyDescent="0.15">
      <c r="B117" s="5"/>
      <c r="H117" s="103"/>
      <c r="I117" s="103"/>
      <c r="J117" s="103"/>
      <c r="K117" s="103"/>
      <c r="P117" s="127"/>
      <c r="Q117" s="127"/>
    </row>
  </sheetData>
  <sortState ref="A10:Y53">
    <sortCondition ref="A11:A53"/>
  </sortState>
  <phoneticPr fontId="2" type="noConversion"/>
  <pageMargins left="0.75" right="0.75" top="1" bottom="1" header="0.5" footer="0.5"/>
  <pageSetup orientation="portrait"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2"/>
  <sheetViews>
    <sheetView workbookViewId="0">
      <pane ySplit="3" topLeftCell="A4" activePane="bottomLeft" state="frozen"/>
      <selection pane="bottomLeft" activeCell="H7" sqref="H7"/>
    </sheetView>
  </sheetViews>
  <sheetFormatPr baseColWidth="10" defaultColWidth="9.1640625" defaultRowHeight="12" x14ac:dyDescent="0.15"/>
  <cols>
    <col min="1" max="1" width="20.5" style="6" customWidth="1"/>
    <col min="2" max="2" width="12.83203125" style="6" customWidth="1"/>
    <col min="3" max="3" width="23.33203125" style="6" customWidth="1"/>
    <col min="4" max="5" width="17.1640625" style="6" customWidth="1"/>
    <col min="6" max="6" width="10.5" style="101" customWidth="1"/>
    <col min="7" max="7" width="10.33203125" style="102" customWidth="1"/>
    <col min="8" max="8" width="5.33203125" style="75" customWidth="1"/>
    <col min="9" max="11" width="3.5" style="75" customWidth="1"/>
    <col min="12" max="12" width="11.5" style="157" customWidth="1"/>
    <col min="13" max="13" width="9.5" style="157" customWidth="1"/>
    <col min="14" max="15" width="5.33203125" style="157" customWidth="1"/>
    <col min="16" max="16" width="14" style="75" customWidth="1"/>
    <col min="17" max="17" width="14.5" style="75" customWidth="1"/>
    <col min="18" max="18" width="9.1640625" style="6"/>
    <col min="19" max="19" width="2.6640625" style="13" customWidth="1"/>
    <col min="20" max="20" width="9.1640625" style="13"/>
    <col min="21" max="21" width="11.5" style="13" customWidth="1"/>
    <col min="22" max="22" width="9.1640625" style="13"/>
    <col min="23" max="23" width="2.6640625" style="13" customWidth="1"/>
    <col min="24" max="52" width="9.1640625" style="13"/>
    <col min="53" max="53" width="9.1640625" style="14"/>
    <col min="54" max="16384" width="9.1640625" style="13"/>
  </cols>
  <sheetData>
    <row r="1" spans="1:53" ht="12" customHeight="1" x14ac:dyDescent="0.15">
      <c r="A1" s="6" t="s">
        <v>2378</v>
      </c>
    </row>
    <row r="2" spans="1:53" ht="12" customHeight="1" x14ac:dyDescent="0.15">
      <c r="A2" s="72"/>
      <c r="F2" s="73"/>
      <c r="G2" s="74" t="s">
        <v>436</v>
      </c>
      <c r="K2" s="76"/>
      <c r="L2" s="74" t="s">
        <v>624</v>
      </c>
      <c r="M2" s="74"/>
      <c r="N2" s="74"/>
      <c r="O2" s="74"/>
      <c r="P2" s="37"/>
      <c r="Q2" s="7"/>
      <c r="R2" s="7"/>
      <c r="S2" s="38"/>
      <c r="T2" s="38"/>
      <c r="U2" s="38"/>
      <c r="AC2" s="77"/>
      <c r="BA2" s="13"/>
    </row>
    <row r="3" spans="1:53" s="84" customFormat="1" ht="44" customHeight="1" thickBot="1" x14ac:dyDescent="0.2">
      <c r="A3" s="78" t="s">
        <v>720</v>
      </c>
      <c r="B3" s="78" t="s">
        <v>710</v>
      </c>
      <c r="C3" s="78" t="s">
        <v>844</v>
      </c>
      <c r="D3" s="78" t="s">
        <v>670</v>
      </c>
      <c r="E3" s="78" t="s">
        <v>310</v>
      </c>
      <c r="F3" s="79" t="s">
        <v>845</v>
      </c>
      <c r="G3" s="80" t="s">
        <v>635</v>
      </c>
      <c r="H3" s="81" t="s">
        <v>392</v>
      </c>
      <c r="I3" s="81" t="s">
        <v>393</v>
      </c>
      <c r="J3" s="81" t="s">
        <v>394</v>
      </c>
      <c r="K3" s="81" t="s">
        <v>395</v>
      </c>
      <c r="L3" s="161" t="s">
        <v>647</v>
      </c>
      <c r="M3" s="161" t="s">
        <v>1977</v>
      </c>
      <c r="N3" s="190" t="s">
        <v>2301</v>
      </c>
      <c r="O3" s="190" t="s">
        <v>2302</v>
      </c>
      <c r="P3" s="81" t="s">
        <v>120</v>
      </c>
      <c r="Q3" s="81" t="s">
        <v>1242</v>
      </c>
      <c r="R3" s="78" t="s">
        <v>669</v>
      </c>
      <c r="S3" s="162"/>
      <c r="T3" s="162"/>
      <c r="BA3" s="163"/>
    </row>
    <row r="4" spans="1:53" s="140" customFormat="1" ht="12" customHeight="1" thickTop="1" x14ac:dyDescent="0.15">
      <c r="A4" s="58" t="s">
        <v>1666</v>
      </c>
      <c r="B4" s="58" t="s">
        <v>23</v>
      </c>
      <c r="C4" s="58" t="s">
        <v>463</v>
      </c>
      <c r="D4" s="58" t="s">
        <v>610</v>
      </c>
      <c r="E4" s="58" t="s">
        <v>1387</v>
      </c>
      <c r="F4" s="137">
        <v>40286</v>
      </c>
      <c r="G4" s="138"/>
      <c r="H4" s="139">
        <v>24</v>
      </c>
      <c r="I4" s="139">
        <v>10</v>
      </c>
      <c r="J4" s="139">
        <v>5</v>
      </c>
      <c r="K4" s="139">
        <v>2</v>
      </c>
      <c r="L4" s="138">
        <f>11000+33000+43220+2200+44400+3600+2160+360+910+3640+10920+12240+17280+1000+2230+13380+200+10000+11700+16080+10000+16080+10000+20000</f>
        <v>295600</v>
      </c>
      <c r="M4" s="138">
        <f>IF(H4="gate","",L4/H4)</f>
        <v>12316.666666666666</v>
      </c>
      <c r="N4" s="330">
        <f t="shared" ref="N4:N8" si="0">I4/H4</f>
        <v>0.41666666666666669</v>
      </c>
      <c r="O4" s="330">
        <f t="shared" ref="O4:O8" si="1">SUM(I4:K4)/H4</f>
        <v>0.70833333333333337</v>
      </c>
      <c r="P4" s="56" t="s">
        <v>5650</v>
      </c>
      <c r="Q4" s="56" t="s">
        <v>143</v>
      </c>
      <c r="R4" s="139" t="s">
        <v>5545</v>
      </c>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BA4" s="141">
        <f>IF(I4="","",IF(I4=0,0,1))</f>
        <v>1</v>
      </c>
    </row>
    <row r="5" spans="1:53" s="140" customFormat="1" ht="12" customHeight="1" x14ac:dyDescent="0.15">
      <c r="A5" s="58" t="s">
        <v>42</v>
      </c>
      <c r="B5" s="58" t="s">
        <v>1815</v>
      </c>
      <c r="C5" s="58" t="s">
        <v>43</v>
      </c>
      <c r="D5" s="58" t="s">
        <v>951</v>
      </c>
      <c r="E5" s="58" t="s">
        <v>44</v>
      </c>
      <c r="F5" s="137">
        <v>40283</v>
      </c>
      <c r="G5" s="138"/>
      <c r="H5" s="139">
        <v>34</v>
      </c>
      <c r="I5" s="139">
        <v>3</v>
      </c>
      <c r="J5" s="139">
        <v>2</v>
      </c>
      <c r="K5" s="139">
        <v>5</v>
      </c>
      <c r="L5" s="138">
        <f>42910+405</f>
        <v>43315</v>
      </c>
      <c r="M5" s="138">
        <f>L5/H5</f>
        <v>1273.9705882352941</v>
      </c>
      <c r="N5" s="330">
        <f>I5/H5</f>
        <v>8.8235294117647065E-2</v>
      </c>
      <c r="O5" s="330">
        <f>SUM(I5:K5)/H5</f>
        <v>0.29411764705882354</v>
      </c>
      <c r="P5" s="56" t="s">
        <v>5581</v>
      </c>
      <c r="Q5" s="56" t="s">
        <v>1913</v>
      </c>
      <c r="R5" s="139" t="s">
        <v>5420</v>
      </c>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BA5" s="141">
        <f>IF(I5="","",IF(I5=0,0,1))</f>
        <v>1</v>
      </c>
    </row>
    <row r="6" spans="1:53" s="140" customFormat="1" ht="12" customHeight="1" x14ac:dyDescent="0.15">
      <c r="A6" s="58" t="s">
        <v>21</v>
      </c>
      <c r="B6" s="58" t="s">
        <v>1815</v>
      </c>
      <c r="C6" s="58" t="s">
        <v>1469</v>
      </c>
      <c r="D6" s="58" t="s">
        <v>888</v>
      </c>
      <c r="E6" s="58" t="s">
        <v>1477</v>
      </c>
      <c r="F6" s="137">
        <v>40295</v>
      </c>
      <c r="G6" s="138">
        <v>20500</v>
      </c>
      <c r="H6" s="139">
        <v>35</v>
      </c>
      <c r="I6" s="139">
        <v>5</v>
      </c>
      <c r="J6" s="139">
        <v>9</v>
      </c>
      <c r="K6" s="139">
        <v>8</v>
      </c>
      <c r="L6" s="138">
        <f>139895+0+1440+2640+14700+4800</f>
        <v>163475</v>
      </c>
      <c r="M6" s="138">
        <f>L6/H6</f>
        <v>4670.7142857142853</v>
      </c>
      <c r="N6" s="330">
        <f t="shared" si="0"/>
        <v>0.14285714285714285</v>
      </c>
      <c r="O6" s="330">
        <f t="shared" si="1"/>
        <v>0.62857142857142856</v>
      </c>
      <c r="P6" s="56" t="s">
        <v>5737</v>
      </c>
      <c r="Q6" s="56" t="s">
        <v>1462</v>
      </c>
      <c r="R6" s="139" t="s">
        <v>1911</v>
      </c>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BA6" s="141">
        <f t="shared" ref="BA6:BA12" si="2">IF(I6="","",IF(I6=0,0,1))</f>
        <v>1</v>
      </c>
    </row>
    <row r="7" spans="1:53" s="140" customFormat="1" ht="12" customHeight="1" x14ac:dyDescent="0.15">
      <c r="A7" s="58" t="s">
        <v>1738</v>
      </c>
      <c r="B7" s="58" t="s">
        <v>2213</v>
      </c>
      <c r="C7" s="58" t="s">
        <v>1240</v>
      </c>
      <c r="D7" s="58" t="s">
        <v>1271</v>
      </c>
      <c r="E7" s="58" t="s">
        <v>1335</v>
      </c>
      <c r="F7" s="137">
        <v>40228</v>
      </c>
      <c r="G7" s="138"/>
      <c r="H7" s="139">
        <v>27</v>
      </c>
      <c r="I7" s="139">
        <v>5</v>
      </c>
      <c r="J7" s="139">
        <v>6</v>
      </c>
      <c r="K7" s="139">
        <v>2</v>
      </c>
      <c r="L7" s="138">
        <f>231900+375+5320</f>
        <v>237595</v>
      </c>
      <c r="M7" s="138">
        <f>L7/H7</f>
        <v>8799.8148148148157</v>
      </c>
      <c r="N7" s="330">
        <f>I7/H7</f>
        <v>0.18518518518518517</v>
      </c>
      <c r="O7" s="330">
        <f>SUM(I7:K7)/H7</f>
        <v>0.48148148148148145</v>
      </c>
      <c r="P7" s="56" t="s">
        <v>5180</v>
      </c>
      <c r="Q7" s="56" t="s">
        <v>1311</v>
      </c>
      <c r="R7" s="13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BA7" s="141">
        <f>IF(I7="","",IF(I7=0,0,1))</f>
        <v>1</v>
      </c>
    </row>
    <row r="8" spans="1:53" s="140" customFormat="1" ht="12" customHeight="1" x14ac:dyDescent="0.15">
      <c r="A8" s="58" t="s">
        <v>1739</v>
      </c>
      <c r="B8" s="58" t="s">
        <v>1895</v>
      </c>
      <c r="C8" s="58" t="s">
        <v>401</v>
      </c>
      <c r="D8" s="58" t="s">
        <v>462</v>
      </c>
      <c r="E8" s="58" t="s">
        <v>1335</v>
      </c>
      <c r="F8" s="137">
        <v>40208</v>
      </c>
      <c r="G8" s="138"/>
      <c r="H8" s="139">
        <v>26</v>
      </c>
      <c r="I8" s="139">
        <v>9</v>
      </c>
      <c r="J8" s="139">
        <v>3</v>
      </c>
      <c r="K8" s="139">
        <v>1</v>
      </c>
      <c r="L8" s="138">
        <f>23400+2820+45000+15000+15000+1000+23040+3000+44520+4000+60000+21600+22200+2000+15000+3000+500+2790+2790+16500+45000+1000+3000+60000+0+20000</f>
        <v>452160</v>
      </c>
      <c r="M8" s="138">
        <f>L8/H8</f>
        <v>17390.76923076923</v>
      </c>
      <c r="N8" s="330">
        <f t="shared" si="0"/>
        <v>0.34615384615384615</v>
      </c>
      <c r="O8" s="330">
        <f t="shared" si="1"/>
        <v>0.5</v>
      </c>
      <c r="P8" s="56" t="s">
        <v>5617</v>
      </c>
      <c r="Q8" s="56" t="s">
        <v>1311</v>
      </c>
      <c r="R8" s="139" t="s">
        <v>5546</v>
      </c>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BA8" s="141">
        <f>IF(I8="","",IF(I8=0,0,1))</f>
        <v>1</v>
      </c>
    </row>
    <row r="9" spans="1:53" s="140" customFormat="1" ht="12" customHeight="1" x14ac:dyDescent="0.15">
      <c r="A9" s="58" t="s">
        <v>1672</v>
      </c>
      <c r="B9" s="58" t="s">
        <v>1511</v>
      </c>
      <c r="C9" s="58" t="s">
        <v>1417</v>
      </c>
      <c r="D9" s="58" t="s">
        <v>699</v>
      </c>
      <c r="E9" s="58" t="s">
        <v>1449</v>
      </c>
      <c r="F9" s="137">
        <v>40301</v>
      </c>
      <c r="G9" s="138">
        <v>1300</v>
      </c>
      <c r="H9" s="139">
        <v>12</v>
      </c>
      <c r="I9" s="139">
        <v>2</v>
      </c>
      <c r="J9" s="139">
        <v>1</v>
      </c>
      <c r="K9" s="139">
        <v>1</v>
      </c>
      <c r="L9" s="138">
        <f>1265+175+780+0+0+305+3538+1240+3844+100+240+126</f>
        <v>11613</v>
      </c>
      <c r="M9" s="138">
        <f>IF(L9="gate","",L9/H9)</f>
        <v>967.75</v>
      </c>
      <c r="N9" s="330">
        <f>IF(H9="","--",I9/H9)</f>
        <v>0.16666666666666666</v>
      </c>
      <c r="O9" s="330">
        <f>IF(H9="","--",SUM(I9:K9)/H9)</f>
        <v>0.33333333333333331</v>
      </c>
      <c r="P9" s="56" t="s">
        <v>5669</v>
      </c>
      <c r="Q9" s="56" t="s">
        <v>162</v>
      </c>
      <c r="R9" s="139" t="s">
        <v>1671</v>
      </c>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BA9" s="141">
        <f>IF(I9="","",IF(I9=0,0,1))</f>
        <v>1</v>
      </c>
    </row>
    <row r="10" spans="1:53" s="140" customFormat="1" ht="12" customHeight="1" x14ac:dyDescent="0.15">
      <c r="A10" s="58" t="s">
        <v>1897</v>
      </c>
      <c r="B10" s="58" t="s">
        <v>112</v>
      </c>
      <c r="C10" s="58" t="s">
        <v>963</v>
      </c>
      <c r="D10" s="58" t="s">
        <v>836</v>
      </c>
      <c r="E10" s="58" t="s">
        <v>1492</v>
      </c>
      <c r="F10" s="137">
        <v>40214</v>
      </c>
      <c r="G10" s="138"/>
      <c r="H10" s="139">
        <v>25</v>
      </c>
      <c r="I10" s="139">
        <v>3</v>
      </c>
      <c r="J10" s="139">
        <v>4</v>
      </c>
      <c r="K10" s="139">
        <v>3</v>
      </c>
      <c r="L10" s="138">
        <f>44625+500+500+700+700+1800+302+350+7980+4200+25200+8200+8200+2640+380+300+1850+500</f>
        <v>108927</v>
      </c>
      <c r="M10" s="138">
        <f>L10/H10</f>
        <v>4357.08</v>
      </c>
      <c r="N10" s="330">
        <f>I10/H10</f>
        <v>0.12</v>
      </c>
      <c r="O10" s="330">
        <f>SUM(I10:K10)/H10</f>
        <v>0.4</v>
      </c>
      <c r="P10" s="56" t="s">
        <v>5576</v>
      </c>
      <c r="Q10" s="56" t="s">
        <v>12</v>
      </c>
      <c r="R10" s="13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BA10" s="141">
        <f>IF(I10="","",IF(I10=0,0,1))</f>
        <v>1</v>
      </c>
    </row>
    <row r="11" spans="1:53" s="90" customFormat="1" ht="12" customHeight="1" x14ac:dyDescent="0.15">
      <c r="A11" s="51"/>
      <c r="B11" s="51"/>
      <c r="C11" s="51"/>
      <c r="D11" s="51"/>
      <c r="E11" s="51"/>
      <c r="F11" s="85"/>
      <c r="G11" s="86"/>
      <c r="H11" s="87" t="s">
        <v>1090</v>
      </c>
      <c r="I11" s="87"/>
      <c r="J11" s="87"/>
      <c r="K11" s="87"/>
      <c r="L11" s="119"/>
      <c r="M11" s="119"/>
      <c r="N11" s="119"/>
      <c r="O11" s="119"/>
      <c r="P11" s="89"/>
      <c r="Q11" s="89"/>
      <c r="R11" s="51"/>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13"/>
      <c r="BA11" s="150" t="str">
        <f t="shared" si="2"/>
        <v/>
      </c>
    </row>
    <row r="12" spans="1:53" ht="12" customHeight="1" x14ac:dyDescent="0.15">
      <c r="A12" s="110" t="s">
        <v>417</v>
      </c>
      <c r="G12" s="96"/>
      <c r="H12" s="103"/>
      <c r="I12" s="103"/>
      <c r="J12" s="103"/>
      <c r="K12" s="103"/>
      <c r="L12" s="100"/>
      <c r="M12" s="100"/>
      <c r="N12" s="100"/>
      <c r="O12" s="100"/>
      <c r="P12" s="149"/>
      <c r="Q12" s="149"/>
      <c r="BA12" s="141" t="str">
        <f t="shared" si="2"/>
        <v/>
      </c>
    </row>
    <row r="13" spans="1:53" s="140" customFormat="1" ht="12" customHeight="1" x14ac:dyDescent="0.15">
      <c r="A13" s="58" t="s">
        <v>1788</v>
      </c>
      <c r="B13" s="58" t="s">
        <v>1513</v>
      </c>
      <c r="C13" s="58" t="s">
        <v>1465</v>
      </c>
      <c r="D13" s="58" t="s">
        <v>1406</v>
      </c>
      <c r="E13" s="58" t="s">
        <v>1474</v>
      </c>
      <c r="F13" s="137">
        <v>40280</v>
      </c>
      <c r="G13" s="138"/>
      <c r="H13" s="139">
        <v>26</v>
      </c>
      <c r="I13" s="139">
        <v>6</v>
      </c>
      <c r="J13" s="139">
        <v>2</v>
      </c>
      <c r="K13" s="139">
        <v>3</v>
      </c>
      <c r="L13" s="138">
        <f>12135+18241+40486+17444+69199+145511+71861+146564+25911+0+154916+0+0+0+0+0+0+0+0+0+15714+1631</f>
        <v>719613</v>
      </c>
      <c r="M13" s="138">
        <f>IF(H13="","",L13/H13)</f>
        <v>27677.423076923078</v>
      </c>
      <c r="N13" s="330">
        <f>I13/H13</f>
        <v>0.23076923076923078</v>
      </c>
      <c r="O13" s="330">
        <f>SUM(I13:K13)/H13</f>
        <v>0.42307692307692307</v>
      </c>
      <c r="P13" s="56" t="s">
        <v>5403</v>
      </c>
      <c r="Q13" s="56" t="s">
        <v>1321</v>
      </c>
      <c r="R13" s="139" t="s">
        <v>17</v>
      </c>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BA13" s="141">
        <f>IF(I13="","",IF(I13=0,0,1))</f>
        <v>1</v>
      </c>
    </row>
    <row r="14" spans="1:53" s="140" customFormat="1" ht="12" customHeight="1" x14ac:dyDescent="0.15">
      <c r="A14" s="58" t="s">
        <v>1783</v>
      </c>
      <c r="B14" s="58" t="s">
        <v>1513</v>
      </c>
      <c r="C14" s="58" t="s">
        <v>1419</v>
      </c>
      <c r="D14" s="58" t="s">
        <v>1420</v>
      </c>
      <c r="E14" s="58" t="s">
        <v>1478</v>
      </c>
      <c r="F14" s="137">
        <v>40248</v>
      </c>
      <c r="G14" s="138">
        <v>21000</v>
      </c>
      <c r="H14" s="139">
        <v>18</v>
      </c>
      <c r="I14" s="139">
        <v>3</v>
      </c>
      <c r="J14" s="139">
        <v>1</v>
      </c>
      <c r="K14" s="139">
        <v>5</v>
      </c>
      <c r="L14" s="138">
        <f>667+929+279+6199+252+2915+365+203+0+57+0+39+0+31</f>
        <v>11936</v>
      </c>
      <c r="M14" s="138">
        <f>L14/H14</f>
        <v>663.11111111111109</v>
      </c>
      <c r="N14" s="330">
        <f>I14/H14</f>
        <v>0.16666666666666666</v>
      </c>
      <c r="O14" s="330">
        <f>SUM(I14:K14)/H14</f>
        <v>0.5</v>
      </c>
      <c r="P14" s="56" t="s">
        <v>5330</v>
      </c>
      <c r="Q14" s="56" t="s">
        <v>1267</v>
      </c>
      <c r="R14" s="139" t="s">
        <v>1822</v>
      </c>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BA14" s="141">
        <f>IF(I14="","",IF(I14=0,0,1))</f>
        <v>1</v>
      </c>
    </row>
    <row r="16" spans="1:53" s="90" customFormat="1" ht="12" customHeight="1" x14ac:dyDescent="0.15">
      <c r="A16" s="51"/>
      <c r="B16" s="51"/>
      <c r="C16" s="51"/>
      <c r="D16" s="51"/>
      <c r="E16" s="51"/>
      <c r="F16" s="85"/>
      <c r="G16" s="86"/>
      <c r="H16" s="87"/>
      <c r="I16" s="87"/>
      <c r="J16" s="87"/>
      <c r="K16" s="87"/>
      <c r="L16" s="119"/>
      <c r="M16" s="119"/>
      <c r="N16" s="119"/>
      <c r="O16" s="119"/>
      <c r="P16" s="89"/>
      <c r="Q16" s="89"/>
      <c r="R16" s="51"/>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13"/>
      <c r="BA16" s="150" t="str">
        <f t="shared" ref="BA16:BA17" si="3">IF(I16="","",IF(I16=0,0,1))</f>
        <v/>
      </c>
    </row>
    <row r="17" spans="1:53" ht="12" customHeight="1" x14ac:dyDescent="0.15">
      <c r="A17" s="110" t="s">
        <v>1699</v>
      </c>
      <c r="G17" s="96"/>
      <c r="H17" s="103"/>
      <c r="I17" s="103"/>
      <c r="J17" s="103"/>
      <c r="K17" s="103"/>
      <c r="L17" s="100"/>
      <c r="M17" s="100"/>
      <c r="N17" s="100"/>
      <c r="O17" s="100"/>
      <c r="P17" s="149"/>
      <c r="Q17" s="149"/>
      <c r="BA17" s="141" t="str">
        <f t="shared" si="3"/>
        <v/>
      </c>
    </row>
    <row r="18" spans="1:53" s="90" customFormat="1" ht="12" customHeight="1" x14ac:dyDescent="0.15">
      <c r="A18" s="51"/>
      <c r="B18" s="51"/>
      <c r="C18" s="51"/>
      <c r="D18" s="51"/>
      <c r="E18" s="51"/>
      <c r="F18" s="85"/>
      <c r="G18" s="86"/>
      <c r="H18" s="87"/>
      <c r="I18" s="87"/>
      <c r="J18" s="87"/>
      <c r="K18" s="87"/>
      <c r="L18" s="119"/>
      <c r="M18" s="119"/>
      <c r="N18" s="119"/>
      <c r="O18" s="119"/>
      <c r="P18" s="89"/>
      <c r="Q18" s="89"/>
      <c r="R18" s="51"/>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13"/>
      <c r="BA18" s="150" t="str">
        <f t="shared" ref="BA18:BA25" si="4">IF(I18="","",IF(I18=0,0,1))</f>
        <v/>
      </c>
    </row>
    <row r="19" spans="1:53" ht="12" customHeight="1" x14ac:dyDescent="0.15">
      <c r="A19" s="110" t="s">
        <v>1698</v>
      </c>
      <c r="G19" s="96"/>
      <c r="H19" s="103"/>
      <c r="I19" s="103"/>
      <c r="J19" s="103"/>
      <c r="K19" s="103"/>
      <c r="L19" s="100"/>
      <c r="M19" s="100"/>
      <c r="N19" s="100"/>
      <c r="O19" s="100"/>
      <c r="P19" s="149"/>
      <c r="Q19" s="149"/>
      <c r="BA19" s="141" t="str">
        <f t="shared" si="4"/>
        <v/>
      </c>
    </row>
    <row r="20" spans="1:53" s="140" customFormat="1" ht="12" customHeight="1" x14ac:dyDescent="0.15">
      <c r="A20" s="58" t="s">
        <v>1620</v>
      </c>
      <c r="B20" s="58" t="s">
        <v>111</v>
      </c>
      <c r="C20" s="58" t="s">
        <v>1398</v>
      </c>
      <c r="D20" s="58" t="s">
        <v>888</v>
      </c>
      <c r="E20" s="58" t="s">
        <v>1480</v>
      </c>
      <c r="F20" s="137">
        <v>40247</v>
      </c>
      <c r="G20" s="138"/>
      <c r="H20" s="139">
        <v>11</v>
      </c>
      <c r="I20" s="139">
        <v>1</v>
      </c>
      <c r="J20" s="139">
        <v>2</v>
      </c>
      <c r="K20" s="139">
        <v>2</v>
      </c>
      <c r="L20" s="138">
        <f>10070+10800+3600+6000+250+600</f>
        <v>31320</v>
      </c>
      <c r="M20" s="138">
        <f>IF(H20="gate","",L20/H20)</f>
        <v>2847.2727272727275</v>
      </c>
      <c r="N20" s="330">
        <f>I20/H20</f>
        <v>9.0909090909090912E-2</v>
      </c>
      <c r="O20" s="330">
        <f>SUM(I20:K20)/H20</f>
        <v>0.45454545454545453</v>
      </c>
      <c r="P20" s="56" t="s">
        <v>3593</v>
      </c>
      <c r="Q20" s="56" t="s">
        <v>1987</v>
      </c>
      <c r="R20" s="139" t="s">
        <v>1612</v>
      </c>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BA20" s="141">
        <f>IF(I20="","",IF(I20=0,0,1))</f>
        <v>1</v>
      </c>
    </row>
    <row r="21" spans="1:53" s="140" customFormat="1" ht="12" customHeight="1" x14ac:dyDescent="0.15">
      <c r="A21" s="58" t="s">
        <v>0</v>
      </c>
      <c r="B21" s="58" t="s">
        <v>969</v>
      </c>
      <c r="C21" s="58" t="s">
        <v>1408</v>
      </c>
      <c r="D21" s="58" t="s">
        <v>1027</v>
      </c>
      <c r="E21" s="58" t="s">
        <v>1335</v>
      </c>
      <c r="F21" s="137">
        <v>40252</v>
      </c>
      <c r="G21" s="138"/>
      <c r="H21" s="139">
        <v>31</v>
      </c>
      <c r="I21" s="139">
        <v>6</v>
      </c>
      <c r="J21" s="139">
        <v>5</v>
      </c>
      <c r="K21" s="139">
        <v>4</v>
      </c>
      <c r="L21" s="138">
        <f>130420+375+1800</f>
        <v>132595</v>
      </c>
      <c r="M21" s="138">
        <f>L21/H21</f>
        <v>4277.2580645161288</v>
      </c>
      <c r="N21" s="330">
        <f>I21/H21</f>
        <v>0.19354838709677419</v>
      </c>
      <c r="O21" s="330">
        <f>SUM(I21:K21)/H21</f>
        <v>0.4838709677419355</v>
      </c>
      <c r="P21" s="56" t="s">
        <v>3636</v>
      </c>
      <c r="Q21" s="56" t="s">
        <v>1311</v>
      </c>
      <c r="R21" s="13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BA21" s="141">
        <f>IF(I21="","",IF(I21=0,0,1))</f>
        <v>1</v>
      </c>
    </row>
    <row r="22" spans="1:53" s="90" customFormat="1" ht="12" customHeight="1" x14ac:dyDescent="0.15">
      <c r="A22" s="51"/>
      <c r="B22" s="51"/>
      <c r="C22" s="51"/>
      <c r="D22" s="51"/>
      <c r="E22" s="51"/>
      <c r="F22" s="85"/>
      <c r="G22" s="86"/>
      <c r="H22" s="87"/>
      <c r="I22" s="87"/>
      <c r="J22" s="87"/>
      <c r="K22" s="87"/>
      <c r="L22" s="119"/>
      <c r="M22" s="119"/>
      <c r="N22" s="119"/>
      <c r="O22" s="119"/>
      <c r="P22" s="89"/>
      <c r="Q22" s="89"/>
      <c r="R22" s="51"/>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13"/>
      <c r="BA22" s="150" t="str">
        <f t="shared" si="4"/>
        <v/>
      </c>
    </row>
    <row r="23" spans="1:53" ht="12" customHeight="1" x14ac:dyDescent="0.15">
      <c r="A23" s="110" t="s">
        <v>1696</v>
      </c>
      <c r="G23" s="96"/>
      <c r="H23" s="103"/>
      <c r="I23" s="103"/>
      <c r="J23" s="103"/>
      <c r="K23" s="103"/>
      <c r="L23" s="100"/>
      <c r="M23" s="100"/>
      <c r="N23" s="100"/>
      <c r="O23" s="100"/>
      <c r="P23" s="149"/>
      <c r="Q23" s="149"/>
      <c r="BA23" s="141" t="str">
        <f t="shared" si="4"/>
        <v/>
      </c>
    </row>
    <row r="24" spans="1:53" s="140" customFormat="1" ht="12" customHeight="1" x14ac:dyDescent="0.15">
      <c r="A24" s="58" t="s">
        <v>1784</v>
      </c>
      <c r="B24" s="58" t="s">
        <v>114</v>
      </c>
      <c r="C24" s="58" t="s">
        <v>1413</v>
      </c>
      <c r="D24" s="58" t="s">
        <v>1414</v>
      </c>
      <c r="E24" s="58" t="s">
        <v>1481</v>
      </c>
      <c r="F24" s="137">
        <v>40285</v>
      </c>
      <c r="G24" s="138">
        <v>6500</v>
      </c>
      <c r="H24" s="139">
        <v>16</v>
      </c>
      <c r="I24" s="139">
        <v>3</v>
      </c>
      <c r="J24" s="139">
        <v>3</v>
      </c>
      <c r="K24" s="139">
        <v>2</v>
      </c>
      <c r="L24" s="138">
        <f>340+3360+3360+5400+910+5460+0+0+0+5520+0+0+1860+910+0</f>
        <v>27120</v>
      </c>
      <c r="M24" s="138">
        <f>L24/H24</f>
        <v>1695</v>
      </c>
      <c r="N24" s="330">
        <f>I24/H24</f>
        <v>0.1875</v>
      </c>
      <c r="O24" s="330">
        <f>SUM(I24:K24)/H24</f>
        <v>0.5</v>
      </c>
      <c r="P24" s="56" t="s">
        <v>2458</v>
      </c>
      <c r="Q24" s="56" t="s">
        <v>1835</v>
      </c>
      <c r="R24" s="139" t="s">
        <v>1787</v>
      </c>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BA24" s="141">
        <f t="shared" si="4"/>
        <v>1</v>
      </c>
    </row>
    <row r="25" spans="1:53" s="90" customFormat="1" ht="12" customHeight="1" x14ac:dyDescent="0.15">
      <c r="A25" s="142" t="s">
        <v>1688</v>
      </c>
      <c r="B25" s="142" t="s">
        <v>969</v>
      </c>
      <c r="C25" s="142" t="s">
        <v>1142</v>
      </c>
      <c r="D25" s="142" t="s">
        <v>715</v>
      </c>
      <c r="E25" s="142" t="s">
        <v>1439</v>
      </c>
      <c r="F25" s="143">
        <v>40251</v>
      </c>
      <c r="G25" s="144">
        <v>6500</v>
      </c>
      <c r="H25" s="145">
        <v>8</v>
      </c>
      <c r="I25" s="145">
        <v>0</v>
      </c>
      <c r="J25" s="145">
        <v>3</v>
      </c>
      <c r="K25" s="145">
        <v>0</v>
      </c>
      <c r="L25" s="146">
        <f>326+110+446+2173+2200+158+1176+171</f>
        <v>6760</v>
      </c>
      <c r="M25" s="146">
        <f>L25/H25</f>
        <v>845</v>
      </c>
      <c r="N25" s="331">
        <f>I25/H25</f>
        <v>0</v>
      </c>
      <c r="O25" s="331">
        <f>SUM(I25:K25)/H25</f>
        <v>0.375</v>
      </c>
      <c r="P25" s="147" t="s">
        <v>3210</v>
      </c>
      <c r="Q25" s="147" t="s">
        <v>2082</v>
      </c>
      <c r="R25" s="142" t="s">
        <v>26</v>
      </c>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BA25" s="141">
        <f t="shared" si="4"/>
        <v>0</v>
      </c>
    </row>
    <row r="26" spans="1:53" s="140" customFormat="1" ht="12" customHeight="1" x14ac:dyDescent="0.15">
      <c r="A26" s="58" t="s">
        <v>1547</v>
      </c>
      <c r="B26" s="58" t="s">
        <v>1980</v>
      </c>
      <c r="C26" s="58" t="s">
        <v>109</v>
      </c>
      <c r="D26" s="58" t="s">
        <v>427</v>
      </c>
      <c r="E26" s="58" t="s">
        <v>1441</v>
      </c>
      <c r="F26" s="137">
        <v>40220</v>
      </c>
      <c r="G26" s="138">
        <v>21000</v>
      </c>
      <c r="H26" s="139">
        <v>33</v>
      </c>
      <c r="I26" s="139">
        <v>5</v>
      </c>
      <c r="J26" s="139">
        <v>2</v>
      </c>
      <c r="K26" s="139">
        <v>1</v>
      </c>
      <c r="L26" s="138">
        <f>252+1500+250+6000+100+500+100+525+525+6300+2100+6300+7500+1250+10150+230+1350+1050+175+154+131+2970+100+100+100+600+100+700+700+700+700+700</f>
        <v>53912</v>
      </c>
      <c r="M26" s="138">
        <f>L26/H26</f>
        <v>1633.6969696969697</v>
      </c>
      <c r="N26" s="330">
        <f>I26/H26</f>
        <v>0.15151515151515152</v>
      </c>
      <c r="O26" s="330">
        <f>SUM(I26:K26)/H26</f>
        <v>0.24242424242424243</v>
      </c>
      <c r="P26" s="56" t="s">
        <v>3392</v>
      </c>
      <c r="Q26" s="56" t="s">
        <v>1835</v>
      </c>
      <c r="R26" s="139" t="s">
        <v>3171</v>
      </c>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BA26" s="141">
        <f>IF(I26="","",IF(I26=0,0,1))</f>
        <v>1</v>
      </c>
    </row>
    <row r="27" spans="1:53" s="90" customFormat="1" ht="12" customHeight="1" x14ac:dyDescent="0.15">
      <c r="A27" s="51"/>
      <c r="B27" s="51"/>
      <c r="C27" s="51"/>
      <c r="D27" s="51"/>
      <c r="E27" s="51"/>
      <c r="F27" s="85"/>
      <c r="G27" s="86"/>
      <c r="H27" s="87"/>
      <c r="I27" s="87"/>
      <c r="J27" s="87"/>
      <c r="K27" s="87"/>
      <c r="L27" s="119"/>
      <c r="M27" s="119"/>
      <c r="N27" s="119"/>
      <c r="O27" s="119"/>
      <c r="P27" s="89"/>
      <c r="Q27" s="89"/>
      <c r="R27" s="51"/>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13"/>
      <c r="BA27" s="150"/>
    </row>
    <row r="28" spans="1:53" ht="12" customHeight="1" x14ac:dyDescent="0.15">
      <c r="A28" s="110" t="s">
        <v>1697</v>
      </c>
      <c r="G28" s="96"/>
      <c r="H28" s="103"/>
      <c r="I28" s="103"/>
      <c r="J28" s="103"/>
      <c r="K28" s="103"/>
      <c r="L28" s="100"/>
      <c r="M28" s="100"/>
      <c r="N28" s="100"/>
      <c r="O28" s="100"/>
      <c r="P28" s="149"/>
      <c r="Q28" s="149"/>
      <c r="BA28" s="141" t="str">
        <f>IF(I28="","",IF(I28=0,0,1))</f>
        <v/>
      </c>
    </row>
    <row r="29" spans="1:53" s="90" customFormat="1" ht="12" customHeight="1" x14ac:dyDescent="0.15">
      <c r="A29" s="142" t="s">
        <v>1794</v>
      </c>
      <c r="B29" s="142" t="s">
        <v>3168</v>
      </c>
      <c r="C29" s="142" t="s">
        <v>1740</v>
      </c>
      <c r="D29" s="142" t="s">
        <v>1741</v>
      </c>
      <c r="E29" s="142" t="s">
        <v>1327</v>
      </c>
      <c r="F29" s="143">
        <v>40212</v>
      </c>
      <c r="G29" s="144"/>
      <c r="H29" s="145">
        <v>2</v>
      </c>
      <c r="I29" s="145">
        <v>0</v>
      </c>
      <c r="J29" s="145">
        <v>0</v>
      </c>
      <c r="K29" s="145">
        <v>0</v>
      </c>
      <c r="L29" s="146">
        <v>0</v>
      </c>
      <c r="M29" s="146">
        <f>IF(H29="","",L29/H29)</f>
        <v>0</v>
      </c>
      <c r="N29" s="331">
        <f>I29/H29</f>
        <v>0</v>
      </c>
      <c r="O29" s="331">
        <f>SUM(I29:K29)/H29</f>
        <v>0</v>
      </c>
      <c r="P29" s="147" t="s">
        <v>2077</v>
      </c>
      <c r="Q29" s="147" t="s">
        <v>1321</v>
      </c>
      <c r="R29" s="142" t="s">
        <v>1802</v>
      </c>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BA29" s="141">
        <f>IF(I29="","",IF(I29=0,0,1))</f>
        <v>0</v>
      </c>
    </row>
    <row r="30" spans="1:53" s="140" customFormat="1" ht="12" customHeight="1" x14ac:dyDescent="0.15">
      <c r="A30" s="58" t="s">
        <v>69</v>
      </c>
      <c r="B30" s="58" t="s">
        <v>1895</v>
      </c>
      <c r="C30" s="58" t="s">
        <v>629</v>
      </c>
      <c r="D30" s="58" t="s">
        <v>630</v>
      </c>
      <c r="E30" s="58" t="s">
        <v>1376</v>
      </c>
      <c r="F30" s="137">
        <v>40299</v>
      </c>
      <c r="G30" s="138"/>
      <c r="H30" s="139">
        <v>14</v>
      </c>
      <c r="I30" s="139">
        <v>2</v>
      </c>
      <c r="J30" s="139">
        <v>2</v>
      </c>
      <c r="K30" s="139">
        <v>1</v>
      </c>
      <c r="L30" s="138">
        <f>13200+0+0+1848+520+2232+6840+250+2200</f>
        <v>27090</v>
      </c>
      <c r="M30" s="138">
        <f>L30/H30</f>
        <v>1935</v>
      </c>
      <c r="N30" s="330">
        <f>I30/H30</f>
        <v>0.14285714285714285</v>
      </c>
      <c r="O30" s="330">
        <f>SUM(I30:K30)/H30</f>
        <v>0.35714285714285715</v>
      </c>
      <c r="P30" s="56" t="s">
        <v>2125</v>
      </c>
      <c r="Q30" s="56" t="s">
        <v>1893</v>
      </c>
      <c r="R30" s="13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BA30" s="141">
        <f>IF(I30="","",IF(I30=0,0,1))</f>
        <v>1</v>
      </c>
    </row>
    <row r="31" spans="1:53" s="90" customFormat="1" ht="12" customHeight="1" x14ac:dyDescent="0.15">
      <c r="A31" s="142" t="s">
        <v>1972</v>
      </c>
      <c r="B31" s="142" t="s">
        <v>3164</v>
      </c>
      <c r="C31" s="142" t="s">
        <v>1238</v>
      </c>
      <c r="D31" s="142" t="s">
        <v>1004</v>
      </c>
      <c r="E31" s="142" t="s">
        <v>1973</v>
      </c>
      <c r="F31" s="143">
        <v>40303</v>
      </c>
      <c r="G31" s="144"/>
      <c r="H31" s="145">
        <v>15</v>
      </c>
      <c r="I31" s="145">
        <v>0</v>
      </c>
      <c r="J31" s="145">
        <v>4</v>
      </c>
      <c r="K31" s="145">
        <v>3</v>
      </c>
      <c r="L31" s="146">
        <f>195+326+128+396+457+0+11408+180+0+99+0+113</f>
        <v>13302</v>
      </c>
      <c r="M31" s="146">
        <f>L31/H31</f>
        <v>886.8</v>
      </c>
      <c r="N31" s="331">
        <f>I31/H31</f>
        <v>0</v>
      </c>
      <c r="O31" s="331">
        <f>SUM(I31:K31)/H31</f>
        <v>0.46666666666666667</v>
      </c>
      <c r="P31" s="147" t="s">
        <v>2404</v>
      </c>
      <c r="Q31" s="147" t="s">
        <v>1267</v>
      </c>
      <c r="R31" s="142"/>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BA31" s="141">
        <f>IF(I31="","",IF(I31=0,0,1))</f>
        <v>0</v>
      </c>
    </row>
    <row r="32" spans="1:53" s="140" customFormat="1" ht="12" customHeight="1" x14ac:dyDescent="0.15">
      <c r="A32" s="58" t="s">
        <v>2042</v>
      </c>
      <c r="B32" s="58" t="s">
        <v>2139</v>
      </c>
      <c r="C32" s="58" t="s">
        <v>1247</v>
      </c>
      <c r="D32" s="58" t="s">
        <v>1225</v>
      </c>
      <c r="E32" s="58" t="s">
        <v>1680</v>
      </c>
      <c r="F32" s="137">
        <v>40211</v>
      </c>
      <c r="G32" s="138"/>
      <c r="H32" s="139">
        <v>5</v>
      </c>
      <c r="I32" s="139">
        <v>3</v>
      </c>
      <c r="J32" s="139">
        <v>0</v>
      </c>
      <c r="K32" s="139">
        <v>2</v>
      </c>
      <c r="L32" s="138">
        <f>5245+673+7500+8172+1034</f>
        <v>22624</v>
      </c>
      <c r="M32" s="138">
        <f>IF(H32="","",L32/H32)</f>
        <v>4524.8</v>
      </c>
      <c r="N32" s="330">
        <f>I32/H32</f>
        <v>0.6</v>
      </c>
      <c r="O32" s="330">
        <f>SUM(I32:K32)/H32</f>
        <v>1</v>
      </c>
      <c r="P32" s="56" t="s">
        <v>2424</v>
      </c>
      <c r="Q32" s="56" t="s">
        <v>1624</v>
      </c>
      <c r="R32" s="139" t="s">
        <v>2108</v>
      </c>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BA32" s="141">
        <f>IF(I32="","",IF(I32=0,0,1))</f>
        <v>1</v>
      </c>
    </row>
    <row r="33" spans="1:53" ht="12" customHeight="1" x14ac:dyDescent="0.15">
      <c r="A33" s="110"/>
      <c r="G33" s="96"/>
      <c r="H33" s="103"/>
      <c r="I33" s="103"/>
      <c r="J33" s="103"/>
      <c r="K33" s="103"/>
      <c r="L33" s="100"/>
      <c r="M33" s="100"/>
      <c r="N33" s="100"/>
      <c r="O33" s="100"/>
      <c r="P33" s="149"/>
      <c r="Q33" s="149"/>
      <c r="BA33" s="141"/>
    </row>
    <row r="34" spans="1:53" ht="12" customHeight="1" x14ac:dyDescent="0.15">
      <c r="A34" s="110" t="s">
        <v>1850</v>
      </c>
      <c r="G34" s="96"/>
      <c r="H34" s="103"/>
      <c r="I34" s="103"/>
      <c r="J34" s="103"/>
      <c r="K34" s="103"/>
      <c r="L34" s="100"/>
      <c r="M34" s="100"/>
      <c r="N34" s="100"/>
      <c r="O34" s="100"/>
      <c r="P34" s="149"/>
      <c r="Q34" s="149"/>
      <c r="BA34" s="141"/>
    </row>
    <row r="35" spans="1:53" s="140" customFormat="1" ht="12" customHeight="1" x14ac:dyDescent="0.15">
      <c r="A35" s="58" t="s">
        <v>5</v>
      </c>
      <c r="B35" s="58" t="s">
        <v>95</v>
      </c>
      <c r="C35" s="58" t="s">
        <v>1207</v>
      </c>
      <c r="D35" s="58" t="s">
        <v>1051</v>
      </c>
      <c r="E35" s="58" t="s">
        <v>646</v>
      </c>
      <c r="F35" s="137">
        <v>40192</v>
      </c>
      <c r="G35" s="138">
        <v>9000</v>
      </c>
      <c r="H35" s="139">
        <v>4</v>
      </c>
      <c r="I35" s="139">
        <v>1</v>
      </c>
      <c r="J35" s="139">
        <v>0</v>
      </c>
      <c r="K35" s="139">
        <v>0</v>
      </c>
      <c r="L35" s="138">
        <f>170+8880+250+250</f>
        <v>9550</v>
      </c>
      <c r="M35" s="138">
        <f t="shared" ref="M35:M43" si="5">L35/H35</f>
        <v>2387.5</v>
      </c>
      <c r="N35" s="330">
        <f t="shared" ref="N35:N49" si="6">I35/H35</f>
        <v>0.25</v>
      </c>
      <c r="O35" s="330">
        <f t="shared" ref="O35:O49" si="7">SUM(I35:K35)/H35</f>
        <v>0.25</v>
      </c>
      <c r="P35" s="56" t="s">
        <v>1976</v>
      </c>
      <c r="Q35" s="56"/>
      <c r="R35" s="139" t="s">
        <v>2374</v>
      </c>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BA35" s="141">
        <f t="shared" ref="BA35:BA47" si="8">IF(I35="","",IF(I35=0,0,1))</f>
        <v>1</v>
      </c>
    </row>
    <row r="36" spans="1:53" s="140" customFormat="1" ht="12" customHeight="1" x14ac:dyDescent="0.15">
      <c r="A36" s="58" t="s">
        <v>1695</v>
      </c>
      <c r="B36" s="58" t="s">
        <v>111</v>
      </c>
      <c r="C36" s="58" t="s">
        <v>71</v>
      </c>
      <c r="D36" s="58" t="s">
        <v>1189</v>
      </c>
      <c r="E36" s="58" t="s">
        <v>83</v>
      </c>
      <c r="F36" s="137">
        <v>40258</v>
      </c>
      <c r="G36" s="138">
        <v>18500</v>
      </c>
      <c r="H36" s="139">
        <v>19</v>
      </c>
      <c r="I36" s="139">
        <v>2</v>
      </c>
      <c r="J36" s="139">
        <v>0</v>
      </c>
      <c r="K36" s="139">
        <v>1</v>
      </c>
      <c r="L36" s="138">
        <f>13396+8400+1410+0+0+1375+465+230+800</f>
        <v>26076</v>
      </c>
      <c r="M36" s="138">
        <f>L36/H36</f>
        <v>1372.421052631579</v>
      </c>
      <c r="N36" s="330">
        <f>I36/H36</f>
        <v>0.10526315789473684</v>
      </c>
      <c r="O36" s="330">
        <f>SUM(I36:K36)/H36</f>
        <v>0.15789473684210525</v>
      </c>
      <c r="P36" s="56" t="s">
        <v>3172</v>
      </c>
      <c r="Q36" s="56"/>
      <c r="R36" s="139" t="s">
        <v>5200</v>
      </c>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BA36" s="141">
        <f>IF(I36="","",IF(I36=0,0,1))</f>
        <v>1</v>
      </c>
    </row>
    <row r="37" spans="1:53" s="140" customFormat="1" ht="12" customHeight="1" x14ac:dyDescent="0.15">
      <c r="A37" s="58" t="s">
        <v>1773</v>
      </c>
      <c r="B37" s="58" t="s">
        <v>112</v>
      </c>
      <c r="C37" s="58" t="s">
        <v>1415</v>
      </c>
      <c r="D37" s="58" t="s">
        <v>1416</v>
      </c>
      <c r="E37" s="58" t="s">
        <v>1482</v>
      </c>
      <c r="F37" s="137">
        <v>40280</v>
      </c>
      <c r="G37" s="138">
        <v>10000</v>
      </c>
      <c r="H37" s="139">
        <v>8</v>
      </c>
      <c r="I37" s="139">
        <v>4</v>
      </c>
      <c r="J37" s="139">
        <v>1</v>
      </c>
      <c r="K37" s="139">
        <v>0</v>
      </c>
      <c r="L37" s="138">
        <f>836+10560+85+759+6804+7356+2800+4692</f>
        <v>33892</v>
      </c>
      <c r="M37" s="138">
        <f t="shared" si="5"/>
        <v>4236.5</v>
      </c>
      <c r="N37" s="330">
        <f>I37/H37</f>
        <v>0.5</v>
      </c>
      <c r="O37" s="330">
        <f>SUM(I37:K37)/H37</f>
        <v>0.625</v>
      </c>
      <c r="P37" s="56" t="s">
        <v>2282</v>
      </c>
      <c r="Q37" s="56"/>
      <c r="R37" s="139" t="s">
        <v>3602</v>
      </c>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BA37" s="141">
        <f t="shared" si="8"/>
        <v>1</v>
      </c>
    </row>
    <row r="38" spans="1:53" s="140" customFormat="1" ht="12" customHeight="1" x14ac:dyDescent="0.15">
      <c r="A38" s="58" t="s">
        <v>1820</v>
      </c>
      <c r="B38" s="58" t="s">
        <v>3167</v>
      </c>
      <c r="C38" s="58" t="s">
        <v>1371</v>
      </c>
      <c r="D38" s="58" t="s">
        <v>495</v>
      </c>
      <c r="E38" s="58" t="s">
        <v>1448</v>
      </c>
      <c r="F38" s="137">
        <v>40234</v>
      </c>
      <c r="G38" s="138">
        <v>25000</v>
      </c>
      <c r="H38" s="139">
        <v>35</v>
      </c>
      <c r="I38" s="139">
        <v>2</v>
      </c>
      <c r="J38" s="139">
        <v>0</v>
      </c>
      <c r="K38" s="139">
        <v>5</v>
      </c>
      <c r="L38" s="138">
        <f>1750+2600+840+112+840+3800+1170+1170+260+23400+2000+3600+150+725+900+11760+440+100+100+870+194+2100+215+215+3010+100+1800+100+120+230+100+410+140</f>
        <v>65321</v>
      </c>
      <c r="M38" s="138">
        <f t="shared" si="5"/>
        <v>1866.3142857142857</v>
      </c>
      <c r="N38" s="330">
        <f>I38/H38</f>
        <v>5.7142857142857141E-2</v>
      </c>
      <c r="O38" s="330">
        <f>SUM(I38:K38)/H38</f>
        <v>0.2</v>
      </c>
      <c r="P38" s="56" t="s">
        <v>3172</v>
      </c>
      <c r="Q38" s="56"/>
      <c r="R38" s="139" t="s">
        <v>3615</v>
      </c>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BA38" s="141">
        <f>IF(I38="","",IF(I38=0,0,1))</f>
        <v>1</v>
      </c>
    </row>
    <row r="39" spans="1:53" s="140" customFormat="1" ht="12" customHeight="1" x14ac:dyDescent="0.15">
      <c r="A39" s="58" t="s">
        <v>1793</v>
      </c>
      <c r="B39" s="58" t="s">
        <v>111</v>
      </c>
      <c r="C39" s="58" t="s">
        <v>1410</v>
      </c>
      <c r="D39" s="58" t="s">
        <v>1411</v>
      </c>
      <c r="E39" s="58" t="s">
        <v>1364</v>
      </c>
      <c r="F39" s="137">
        <v>40275</v>
      </c>
      <c r="G39" s="138">
        <v>8000</v>
      </c>
      <c r="H39" s="139">
        <v>18</v>
      </c>
      <c r="I39" s="139">
        <v>5</v>
      </c>
      <c r="J39" s="139">
        <v>6</v>
      </c>
      <c r="K39" s="139">
        <v>1</v>
      </c>
      <c r="L39" s="138">
        <f>11400+1740+6800+308+20400+175+150+3600+3600+10800+12000+15000+380+180+3040+2200+3800+200</f>
        <v>95773</v>
      </c>
      <c r="M39" s="138">
        <f>L39/H39</f>
        <v>5320.7222222222226</v>
      </c>
      <c r="N39" s="330">
        <f>I39/H39</f>
        <v>0.27777777777777779</v>
      </c>
      <c r="O39" s="330">
        <f>SUM(I39:K39)/H39</f>
        <v>0.66666666666666663</v>
      </c>
      <c r="P39" s="56" t="s">
        <v>4128</v>
      </c>
      <c r="Q39" s="56"/>
      <c r="R39" s="139" t="s">
        <v>5391</v>
      </c>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BA39" s="141">
        <f>IF(I39="","",IF(I39=0,0,1))</f>
        <v>1</v>
      </c>
    </row>
    <row r="40" spans="1:53" s="140" customFormat="1" ht="12" customHeight="1" x14ac:dyDescent="0.15">
      <c r="A40" s="58" t="s">
        <v>1611</v>
      </c>
      <c r="B40" s="58" t="s">
        <v>3165</v>
      </c>
      <c r="C40" s="58" t="s">
        <v>1421</v>
      </c>
      <c r="D40" s="58" t="s">
        <v>1422</v>
      </c>
      <c r="E40" s="58" t="s">
        <v>1350</v>
      </c>
      <c r="F40" s="137">
        <v>40203</v>
      </c>
      <c r="G40" s="138">
        <v>15000</v>
      </c>
      <c r="H40" s="139">
        <v>20</v>
      </c>
      <c r="I40" s="139">
        <v>4</v>
      </c>
      <c r="J40" s="139">
        <v>0</v>
      </c>
      <c r="K40" s="139">
        <v>3</v>
      </c>
      <c r="L40" s="138">
        <f>1980+16200+860+250+2760+13800+250+2400+250+5400+21000+1160+21000+6960+2400+250+250+1920+400</f>
        <v>99490</v>
      </c>
      <c r="M40" s="138">
        <f>IF(H40="","",L40/H40)</f>
        <v>4974.5</v>
      </c>
      <c r="N40" s="330">
        <f>I40/H40</f>
        <v>0.2</v>
      </c>
      <c r="O40" s="330">
        <f>SUM(I40:K40)/H40</f>
        <v>0.35</v>
      </c>
      <c r="P40" s="56" t="s">
        <v>3172</v>
      </c>
      <c r="Q40" s="56"/>
      <c r="R40" s="139" t="s">
        <v>5371</v>
      </c>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BA40" s="141">
        <f>IF(I40="","",IF(I40=0,0,1))</f>
        <v>1</v>
      </c>
    </row>
    <row r="41" spans="1:53" s="140" customFormat="1" ht="12" customHeight="1" x14ac:dyDescent="0.15">
      <c r="A41" s="58" t="s">
        <v>6</v>
      </c>
      <c r="B41" s="58" t="s">
        <v>3163</v>
      </c>
      <c r="C41" s="58" t="s">
        <v>1226</v>
      </c>
      <c r="D41" s="58" t="s">
        <v>937</v>
      </c>
      <c r="E41" s="58" t="s">
        <v>1264</v>
      </c>
      <c r="F41" s="137">
        <v>40213</v>
      </c>
      <c r="G41" s="138"/>
      <c r="H41" s="139">
        <v>7</v>
      </c>
      <c r="I41" s="139">
        <v>2</v>
      </c>
      <c r="J41" s="139">
        <v>1</v>
      </c>
      <c r="K41" s="139">
        <v>1</v>
      </c>
      <c r="L41" s="138">
        <f>77640+6000+250+22000+250</f>
        <v>106140</v>
      </c>
      <c r="M41" s="138">
        <f t="shared" si="5"/>
        <v>15162.857142857143</v>
      </c>
      <c r="N41" s="330">
        <f t="shared" si="6"/>
        <v>0.2857142857142857</v>
      </c>
      <c r="O41" s="330">
        <f t="shared" si="7"/>
        <v>0.5714285714285714</v>
      </c>
      <c r="P41" s="56" t="s">
        <v>2519</v>
      </c>
      <c r="Q41" s="56"/>
      <c r="R41" s="139" t="s">
        <v>1322</v>
      </c>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BA41" s="141">
        <f t="shared" si="8"/>
        <v>1</v>
      </c>
    </row>
    <row r="42" spans="1:53" s="140" customFormat="1" ht="12" customHeight="1" x14ac:dyDescent="0.15">
      <c r="A42" s="58" t="s">
        <v>1819</v>
      </c>
      <c r="B42" s="58" t="s">
        <v>1513</v>
      </c>
      <c r="C42" s="58" t="s">
        <v>949</v>
      </c>
      <c r="D42" s="58" t="s">
        <v>459</v>
      </c>
      <c r="E42" s="58" t="s">
        <v>1335</v>
      </c>
      <c r="F42" s="137">
        <v>40267</v>
      </c>
      <c r="G42" s="138">
        <v>25000</v>
      </c>
      <c r="H42" s="139">
        <v>18</v>
      </c>
      <c r="I42" s="139">
        <v>3</v>
      </c>
      <c r="J42" s="139">
        <v>1</v>
      </c>
      <c r="K42" s="139">
        <v>1</v>
      </c>
      <c r="L42" s="138">
        <f>1609+6853+25541+3778+31782+18900+4833+4979+0+44818+0+0+0+0</f>
        <v>143093</v>
      </c>
      <c r="M42" s="138">
        <f t="shared" si="5"/>
        <v>7949.6111111111113</v>
      </c>
      <c r="N42" s="330">
        <f>I42/H42</f>
        <v>0.16666666666666666</v>
      </c>
      <c r="O42" s="330">
        <f>SUM(I42:K42)/H42</f>
        <v>0.27777777777777779</v>
      </c>
      <c r="P42" s="56" t="s">
        <v>3172</v>
      </c>
      <c r="Q42" s="56" t="s">
        <v>1561</v>
      </c>
      <c r="R42" s="139" t="s">
        <v>3409</v>
      </c>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BA42" s="141">
        <f t="shared" si="8"/>
        <v>1</v>
      </c>
    </row>
    <row r="43" spans="1:53" s="140" customFormat="1" ht="12" customHeight="1" x14ac:dyDescent="0.15">
      <c r="A43" s="58" t="s">
        <v>1883</v>
      </c>
      <c r="B43" s="58" t="s">
        <v>111</v>
      </c>
      <c r="C43" s="58" t="s">
        <v>1062</v>
      </c>
      <c r="D43" s="58" t="s">
        <v>704</v>
      </c>
      <c r="E43" s="58" t="s">
        <v>1350</v>
      </c>
      <c r="F43" s="137">
        <v>40251</v>
      </c>
      <c r="G43" s="138">
        <v>16000</v>
      </c>
      <c r="H43" s="139">
        <v>12</v>
      </c>
      <c r="I43" s="139">
        <v>5</v>
      </c>
      <c r="J43" s="139">
        <v>3</v>
      </c>
      <c r="K43" s="139">
        <v>1</v>
      </c>
      <c r="L43" s="138">
        <f>73852+1661+20100+6000+36000+12400+32400+0</f>
        <v>182413</v>
      </c>
      <c r="M43" s="138">
        <f t="shared" si="5"/>
        <v>15201.083333333334</v>
      </c>
      <c r="N43" s="330">
        <f>I43/H43</f>
        <v>0.41666666666666669</v>
      </c>
      <c r="O43" s="330">
        <f>SUM(I43:K43)/H43</f>
        <v>0.75</v>
      </c>
      <c r="P43" s="56" t="s">
        <v>3344</v>
      </c>
      <c r="Q43" s="56" t="s">
        <v>1313</v>
      </c>
      <c r="R43" s="139" t="s">
        <v>3321</v>
      </c>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BA43" s="141">
        <f>IF(I43="","",IF(I43=0,0,1))</f>
        <v>1</v>
      </c>
    </row>
    <row r="44" spans="1:53" s="140" customFormat="1" ht="12" customHeight="1" x14ac:dyDescent="0.15">
      <c r="A44" s="58" t="s">
        <v>31</v>
      </c>
      <c r="B44" s="58" t="s">
        <v>94</v>
      </c>
      <c r="C44" s="58" t="s">
        <v>1470</v>
      </c>
      <c r="D44" s="58" t="s">
        <v>1471</v>
      </c>
      <c r="E44" s="58" t="s">
        <v>1506</v>
      </c>
      <c r="F44" s="137">
        <v>40266</v>
      </c>
      <c r="G44" s="138"/>
      <c r="H44" s="139">
        <v>48</v>
      </c>
      <c r="I44" s="139">
        <v>6</v>
      </c>
      <c r="J44" s="139">
        <v>10</v>
      </c>
      <c r="K44" s="139">
        <v>10</v>
      </c>
      <c r="L44" s="138">
        <f>281530+22680+9240+2750+300+1140+5600+250</f>
        <v>323490</v>
      </c>
      <c r="M44" s="138">
        <f>L44/H44</f>
        <v>6739.375</v>
      </c>
      <c r="N44" s="330">
        <f>I44/H44</f>
        <v>0.125</v>
      </c>
      <c r="O44" s="330">
        <f>SUM(I44:K44)/H44</f>
        <v>0.54166666666666663</v>
      </c>
      <c r="P44" s="56" t="s">
        <v>4128</v>
      </c>
      <c r="Q44" s="56"/>
      <c r="R44" s="139" t="s">
        <v>5384</v>
      </c>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BA44" s="141">
        <f>IF(I44="","",IF(I44=0,0,1))</f>
        <v>1</v>
      </c>
    </row>
    <row r="45" spans="1:53" s="90" customFormat="1" ht="12" customHeight="1" x14ac:dyDescent="0.15">
      <c r="A45" s="142" t="s">
        <v>1888</v>
      </c>
      <c r="B45" s="142" t="s">
        <v>969</v>
      </c>
      <c r="C45" s="142" t="s">
        <v>108</v>
      </c>
      <c r="D45" s="142" t="s">
        <v>107</v>
      </c>
      <c r="E45" s="142" t="s">
        <v>1466</v>
      </c>
      <c r="F45" s="143">
        <v>40294</v>
      </c>
      <c r="G45" s="144">
        <v>2500</v>
      </c>
      <c r="H45" s="145">
        <v>5</v>
      </c>
      <c r="I45" s="145">
        <v>0</v>
      </c>
      <c r="J45" s="145">
        <v>0</v>
      </c>
      <c r="K45" s="145">
        <v>0</v>
      </c>
      <c r="L45" s="146">
        <v>500</v>
      </c>
      <c r="M45" s="146">
        <f>IF(H45="","",L45/H45)</f>
        <v>100</v>
      </c>
      <c r="N45" s="331">
        <f t="shared" si="6"/>
        <v>0</v>
      </c>
      <c r="O45" s="331">
        <f t="shared" si="7"/>
        <v>0</v>
      </c>
      <c r="P45" s="147" t="s">
        <v>1976</v>
      </c>
      <c r="Q45" s="147" t="s">
        <v>1966</v>
      </c>
      <c r="R45" s="142" t="s">
        <v>3087</v>
      </c>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BA45" s="141">
        <f t="shared" si="8"/>
        <v>0</v>
      </c>
    </row>
    <row r="46" spans="1:53" s="90" customFormat="1" ht="12" customHeight="1" x14ac:dyDescent="0.15">
      <c r="A46" s="142" t="s">
        <v>1737</v>
      </c>
      <c r="B46" s="142" t="s">
        <v>1511</v>
      </c>
      <c r="C46" s="142" t="s">
        <v>846</v>
      </c>
      <c r="D46" s="142" t="s">
        <v>927</v>
      </c>
      <c r="E46" s="142" t="s">
        <v>1335</v>
      </c>
      <c r="F46" s="143">
        <v>40221</v>
      </c>
      <c r="G46" s="144"/>
      <c r="H46" s="145">
        <v>5</v>
      </c>
      <c r="I46" s="145">
        <v>0</v>
      </c>
      <c r="J46" s="145">
        <v>0</v>
      </c>
      <c r="K46" s="145">
        <v>1</v>
      </c>
      <c r="L46" s="146">
        <f>250+1320+2420+375+510</f>
        <v>4875</v>
      </c>
      <c r="M46" s="146">
        <f>L46/H46</f>
        <v>975</v>
      </c>
      <c r="N46" s="331">
        <f>I46/H46</f>
        <v>0</v>
      </c>
      <c r="O46" s="331">
        <f>SUM(I46:K46)/H46</f>
        <v>0.2</v>
      </c>
      <c r="P46" s="147" t="s">
        <v>1979</v>
      </c>
      <c r="Q46" s="147" t="s">
        <v>1311</v>
      </c>
      <c r="R46" s="142" t="s">
        <v>4479</v>
      </c>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BA46" s="141">
        <f>IF(I46="","",IF(I46=0,0,1))</f>
        <v>0</v>
      </c>
    </row>
    <row r="47" spans="1:53" s="90" customFormat="1" ht="12" customHeight="1" x14ac:dyDescent="0.15">
      <c r="A47" s="142" t="s">
        <v>13</v>
      </c>
      <c r="B47" s="142" t="s">
        <v>111</v>
      </c>
      <c r="C47" s="142" t="s">
        <v>1372</v>
      </c>
      <c r="D47" s="142" t="s">
        <v>843</v>
      </c>
      <c r="E47" s="142" t="s">
        <v>1475</v>
      </c>
      <c r="F47" s="143">
        <v>40304</v>
      </c>
      <c r="G47" s="144">
        <v>17000</v>
      </c>
      <c r="H47" s="145">
        <v>2</v>
      </c>
      <c r="I47" s="145">
        <v>0</v>
      </c>
      <c r="J47" s="145">
        <v>1</v>
      </c>
      <c r="K47" s="145">
        <v>0</v>
      </c>
      <c r="L47" s="146">
        <f>1669+3800</f>
        <v>5469</v>
      </c>
      <c r="M47" s="146">
        <f>L47/H47</f>
        <v>2734.5</v>
      </c>
      <c r="N47" s="331">
        <f t="shared" si="6"/>
        <v>0</v>
      </c>
      <c r="O47" s="331">
        <f t="shared" si="7"/>
        <v>0.5</v>
      </c>
      <c r="P47" s="147" t="s">
        <v>1976</v>
      </c>
      <c r="Q47" s="147"/>
      <c r="R47" s="142" t="s">
        <v>2039</v>
      </c>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BA47" s="141">
        <f t="shared" si="8"/>
        <v>0</v>
      </c>
    </row>
    <row r="48" spans="1:53" s="90" customFormat="1" ht="12" customHeight="1" x14ac:dyDescent="0.15">
      <c r="A48" s="142" t="s">
        <v>1668</v>
      </c>
      <c r="B48" s="142" t="s">
        <v>3097</v>
      </c>
      <c r="C48" s="142" t="s">
        <v>746</v>
      </c>
      <c r="D48" s="142" t="s">
        <v>899</v>
      </c>
      <c r="E48" s="142" t="s">
        <v>1476</v>
      </c>
      <c r="F48" s="143">
        <v>40291</v>
      </c>
      <c r="G48" s="144">
        <v>14500</v>
      </c>
      <c r="H48" s="145">
        <v>8</v>
      </c>
      <c r="I48" s="145">
        <v>0</v>
      </c>
      <c r="J48" s="145">
        <v>0</v>
      </c>
      <c r="K48" s="145">
        <v>2</v>
      </c>
      <c r="L48" s="146">
        <f>396+400+380+400+2131+1916+384+1032</f>
        <v>7039</v>
      </c>
      <c r="M48" s="146">
        <f>IF(H48="gate","",L48/H48)</f>
        <v>879.875</v>
      </c>
      <c r="N48" s="331">
        <f t="shared" si="6"/>
        <v>0</v>
      </c>
      <c r="O48" s="331">
        <f t="shared" si="7"/>
        <v>0.25</v>
      </c>
      <c r="P48" s="147" t="s">
        <v>1976</v>
      </c>
      <c r="Q48" s="147" t="s">
        <v>49</v>
      </c>
      <c r="R48" s="142" t="s">
        <v>3391</v>
      </c>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BA48" s="141">
        <f t="shared" ref="BA48:BA53" si="9">IF(I48="","",IF(I48=0,0,1))</f>
        <v>0</v>
      </c>
    </row>
    <row r="49" spans="1:53" s="90" customFormat="1" ht="12" customHeight="1" x14ac:dyDescent="0.15">
      <c r="A49" s="142" t="s">
        <v>1812</v>
      </c>
      <c r="B49" s="142" t="s">
        <v>1918</v>
      </c>
      <c r="C49" s="142" t="s">
        <v>781</v>
      </c>
      <c r="D49" s="142" t="s">
        <v>707</v>
      </c>
      <c r="E49" s="142" t="s">
        <v>1393</v>
      </c>
      <c r="F49" s="143">
        <v>40240</v>
      </c>
      <c r="G49" s="144">
        <v>50000</v>
      </c>
      <c r="H49" s="145">
        <v>10</v>
      </c>
      <c r="I49" s="145">
        <v>0</v>
      </c>
      <c r="J49" s="145">
        <v>0</v>
      </c>
      <c r="K49" s="145">
        <v>0</v>
      </c>
      <c r="L49" s="146">
        <f>1959+7553+3526</f>
        <v>13038</v>
      </c>
      <c r="M49" s="146">
        <f>L49/H49</f>
        <v>1303.8</v>
      </c>
      <c r="N49" s="331">
        <f t="shared" si="6"/>
        <v>0</v>
      </c>
      <c r="O49" s="331">
        <f t="shared" si="7"/>
        <v>0</v>
      </c>
      <c r="P49" s="147" t="s">
        <v>2282</v>
      </c>
      <c r="Q49" s="147" t="s">
        <v>1561</v>
      </c>
      <c r="R49" s="142" t="s">
        <v>2307</v>
      </c>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BA49" s="141">
        <f t="shared" si="9"/>
        <v>0</v>
      </c>
    </row>
    <row r="50" spans="1:53" s="90" customFormat="1" ht="12" customHeight="1" x14ac:dyDescent="0.15">
      <c r="A50" s="142" t="s">
        <v>1944</v>
      </c>
      <c r="B50" s="142" t="s">
        <v>1924</v>
      </c>
      <c r="C50" s="142" t="s">
        <v>1412</v>
      </c>
      <c r="D50" s="142" t="s">
        <v>1006</v>
      </c>
      <c r="E50" s="142" t="s">
        <v>1387</v>
      </c>
      <c r="F50" s="143">
        <v>40271</v>
      </c>
      <c r="G50" s="144">
        <v>5500</v>
      </c>
      <c r="H50" s="145">
        <v>30</v>
      </c>
      <c r="I50" s="145">
        <v>0</v>
      </c>
      <c r="J50" s="145">
        <v>5</v>
      </c>
      <c r="K50" s="145">
        <v>1</v>
      </c>
      <c r="L50" s="146">
        <f>2340+6380+1822+2350+1786+9639+9803+3113+0+0+0+2470+0+2440+2473+15995+13833+3555+2499+13658+0</f>
        <v>94156</v>
      </c>
      <c r="M50" s="146">
        <f>L50/H50</f>
        <v>3138.5333333333333</v>
      </c>
      <c r="N50" s="331">
        <f>I50/H50</f>
        <v>0</v>
      </c>
      <c r="O50" s="331">
        <f>SUM(I50:K50)/H50</f>
        <v>0.2</v>
      </c>
      <c r="P50" s="147" t="s">
        <v>3172</v>
      </c>
      <c r="Q50" s="147" t="s">
        <v>1561</v>
      </c>
      <c r="R50" s="142" t="s">
        <v>3408</v>
      </c>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BA50" s="141">
        <f t="shared" si="9"/>
        <v>0</v>
      </c>
    </row>
    <row r="51" spans="1:53" s="90" customFormat="1" ht="12" customHeight="1" x14ac:dyDescent="0.15">
      <c r="A51" s="51" t="s">
        <v>1673</v>
      </c>
      <c r="B51" s="51" t="s">
        <v>111</v>
      </c>
      <c r="C51" s="51" t="s">
        <v>1409</v>
      </c>
      <c r="D51" s="51" t="s">
        <v>718</v>
      </c>
      <c r="E51" s="51" t="s">
        <v>432</v>
      </c>
      <c r="F51" s="85">
        <v>40271</v>
      </c>
      <c r="G51" s="86">
        <v>90000</v>
      </c>
      <c r="H51" s="87"/>
      <c r="I51" s="87"/>
      <c r="J51" s="87"/>
      <c r="K51" s="87"/>
      <c r="L51" s="86" t="s">
        <v>391</v>
      </c>
      <c r="M51" s="119"/>
      <c r="N51" s="333" t="str">
        <f t="shared" ref="N51:N59" si="10">IF(H51="","--",I51/H51)</f>
        <v>--</v>
      </c>
      <c r="O51" s="333" t="str">
        <f t="shared" ref="O51:O59" si="11">IF(H51="","--",SUM(I51:K51)/H51)</f>
        <v>--</v>
      </c>
      <c r="P51" s="89" t="s">
        <v>1689</v>
      </c>
      <c r="Q51" s="89"/>
      <c r="R51" s="51" t="s">
        <v>2382</v>
      </c>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13"/>
      <c r="BA51" s="150" t="str">
        <f t="shared" si="9"/>
        <v/>
      </c>
    </row>
    <row r="52" spans="1:53" s="90" customFormat="1" ht="12" customHeight="1" x14ac:dyDescent="0.15">
      <c r="A52" s="51" t="s">
        <v>1635</v>
      </c>
      <c r="B52" s="51" t="s">
        <v>466</v>
      </c>
      <c r="C52" s="51" t="s">
        <v>1397</v>
      </c>
      <c r="D52" s="51" t="s">
        <v>753</v>
      </c>
      <c r="E52" s="51" t="s">
        <v>646</v>
      </c>
      <c r="F52" s="85">
        <v>40211</v>
      </c>
      <c r="G52" s="86"/>
      <c r="H52" s="87"/>
      <c r="I52" s="87"/>
      <c r="J52" s="87"/>
      <c r="K52" s="87"/>
      <c r="L52" s="86" t="s">
        <v>391</v>
      </c>
      <c r="M52" s="119"/>
      <c r="N52" s="333" t="str">
        <f t="shared" si="10"/>
        <v>--</v>
      </c>
      <c r="O52" s="333" t="str">
        <f t="shared" si="11"/>
        <v>--</v>
      </c>
      <c r="P52" s="89" t="s">
        <v>1708</v>
      </c>
      <c r="Q52" s="89"/>
      <c r="R52" s="51" t="s">
        <v>2233</v>
      </c>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13"/>
      <c r="BA52" s="150" t="str">
        <f t="shared" si="9"/>
        <v/>
      </c>
    </row>
    <row r="53" spans="1:53" s="90" customFormat="1" ht="12" customHeight="1" x14ac:dyDescent="0.15">
      <c r="A53" s="51" t="s">
        <v>1675</v>
      </c>
      <c r="B53" s="51" t="s">
        <v>3169</v>
      </c>
      <c r="C53" s="51" t="s">
        <v>1222</v>
      </c>
      <c r="D53" s="51" t="s">
        <v>1223</v>
      </c>
      <c r="E53" s="51" t="s">
        <v>1440</v>
      </c>
      <c r="F53" s="85">
        <v>40321</v>
      </c>
      <c r="G53" s="86"/>
      <c r="H53" s="87"/>
      <c r="I53" s="87"/>
      <c r="J53" s="87"/>
      <c r="K53" s="87"/>
      <c r="L53" s="86" t="s">
        <v>391</v>
      </c>
      <c r="M53" s="119"/>
      <c r="N53" s="333" t="str">
        <f>IF(H53="","--",I53/H53)</f>
        <v>--</v>
      </c>
      <c r="O53" s="333" t="str">
        <f>IF(H53="","--",SUM(I53:K53)/H53)</f>
        <v>--</v>
      </c>
      <c r="P53" s="89" t="s">
        <v>1601</v>
      </c>
      <c r="Q53" s="89"/>
      <c r="R53" s="51" t="s">
        <v>2368</v>
      </c>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13"/>
      <c r="BA53" s="150" t="str">
        <f t="shared" si="9"/>
        <v/>
      </c>
    </row>
    <row r="54" spans="1:53" s="90" customFormat="1" ht="12" customHeight="1" x14ac:dyDescent="0.15">
      <c r="A54" s="51" t="s">
        <v>1806</v>
      </c>
      <c r="B54" s="51" t="s">
        <v>1511</v>
      </c>
      <c r="C54" s="51" t="s">
        <v>1208</v>
      </c>
      <c r="D54" s="51" t="s">
        <v>937</v>
      </c>
      <c r="E54" s="51" t="s">
        <v>1442</v>
      </c>
      <c r="F54" s="85">
        <v>40279</v>
      </c>
      <c r="G54" s="86">
        <v>17000</v>
      </c>
      <c r="H54" s="87"/>
      <c r="I54" s="87"/>
      <c r="J54" s="87"/>
      <c r="K54" s="87"/>
      <c r="L54" s="86" t="s">
        <v>391</v>
      </c>
      <c r="M54" s="119" t="str">
        <f>IF(H54="","",L54/H54)</f>
        <v/>
      </c>
      <c r="N54" s="333" t="str">
        <f t="shared" si="10"/>
        <v>--</v>
      </c>
      <c r="O54" s="333" t="str">
        <f t="shared" si="11"/>
        <v>--</v>
      </c>
      <c r="P54" s="89" t="s">
        <v>1689</v>
      </c>
      <c r="Q54" s="89"/>
      <c r="R54" s="51" t="s">
        <v>2012</v>
      </c>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13"/>
      <c r="BA54" s="150" t="str">
        <f t="shared" ref="BA54:BA61" si="12">IF(I54="","",IF(I54=0,0,1))</f>
        <v/>
      </c>
    </row>
    <row r="55" spans="1:53" s="90" customFormat="1" ht="12" customHeight="1" x14ac:dyDescent="0.15">
      <c r="A55" s="51" t="s">
        <v>1484</v>
      </c>
      <c r="B55" s="51" t="s">
        <v>1918</v>
      </c>
      <c r="C55" s="51" t="s">
        <v>1373</v>
      </c>
      <c r="D55" s="51" t="s">
        <v>1418</v>
      </c>
      <c r="E55" s="51" t="s">
        <v>1479</v>
      </c>
      <c r="F55" s="85">
        <v>40308</v>
      </c>
      <c r="G55" s="86">
        <v>5000</v>
      </c>
      <c r="H55" s="87"/>
      <c r="I55" s="87"/>
      <c r="J55" s="87"/>
      <c r="K55" s="87"/>
      <c r="L55" s="86" t="s">
        <v>391</v>
      </c>
      <c r="M55" s="119" t="str">
        <f>IF(H55="","",L55/H55)</f>
        <v/>
      </c>
      <c r="N55" s="333" t="str">
        <f>IF(H55="","--",I55/H55)</f>
        <v>--</v>
      </c>
      <c r="O55" s="333" t="str">
        <f>IF(H55="","--",SUM(I55:K55)/H55)</f>
        <v>--</v>
      </c>
      <c r="P55" s="89" t="s">
        <v>1976</v>
      </c>
      <c r="Q55" s="89" t="s">
        <v>344</v>
      </c>
      <c r="R55" s="51" t="s">
        <v>4480</v>
      </c>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13"/>
      <c r="BA55" s="150" t="str">
        <f>IF(I55="","",IF(I55=0,0,1))</f>
        <v/>
      </c>
    </row>
    <row r="56" spans="1:53" s="90" customFormat="1" ht="12" customHeight="1" x14ac:dyDescent="0.15">
      <c r="A56" s="51" t="s">
        <v>1551</v>
      </c>
      <c r="B56" s="51" t="s">
        <v>1513</v>
      </c>
      <c r="C56" s="51" t="s">
        <v>1230</v>
      </c>
      <c r="D56" s="51" t="s">
        <v>1004</v>
      </c>
      <c r="E56" s="51" t="s">
        <v>1483</v>
      </c>
      <c r="F56" s="85">
        <v>40230</v>
      </c>
      <c r="G56" s="86">
        <v>6000</v>
      </c>
      <c r="H56" s="87"/>
      <c r="I56" s="87"/>
      <c r="J56" s="87"/>
      <c r="K56" s="87"/>
      <c r="L56" s="86" t="s">
        <v>391</v>
      </c>
      <c r="M56" s="119"/>
      <c r="N56" s="333" t="str">
        <f t="shared" si="10"/>
        <v>--</v>
      </c>
      <c r="O56" s="333" t="str">
        <f t="shared" si="11"/>
        <v>--</v>
      </c>
      <c r="P56" s="89" t="s">
        <v>1601</v>
      </c>
      <c r="Q56" s="89"/>
      <c r="R56" s="51" t="s">
        <v>2134</v>
      </c>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13"/>
      <c r="BA56" s="150" t="str">
        <f t="shared" si="12"/>
        <v/>
      </c>
    </row>
    <row r="57" spans="1:53" s="90" customFormat="1" ht="12" customHeight="1" x14ac:dyDescent="0.15">
      <c r="A57" s="51" t="s">
        <v>1551</v>
      </c>
      <c r="B57" s="51" t="s">
        <v>1933</v>
      </c>
      <c r="C57" s="51" t="s">
        <v>1467</v>
      </c>
      <c r="D57" s="51" t="s">
        <v>1468</v>
      </c>
      <c r="E57" s="51" t="s">
        <v>1494</v>
      </c>
      <c r="F57" s="85">
        <v>40294</v>
      </c>
      <c r="G57" s="86"/>
      <c r="H57" s="87"/>
      <c r="I57" s="87"/>
      <c r="J57" s="87"/>
      <c r="K57" s="87"/>
      <c r="L57" s="86" t="s">
        <v>391</v>
      </c>
      <c r="M57" s="119"/>
      <c r="N57" s="333" t="str">
        <f t="shared" si="10"/>
        <v>--</v>
      </c>
      <c r="O57" s="333" t="str">
        <f t="shared" si="11"/>
        <v>--</v>
      </c>
      <c r="P57" s="89" t="s">
        <v>1601</v>
      </c>
      <c r="Q57" s="89"/>
      <c r="R57" s="51" t="s">
        <v>2011</v>
      </c>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13"/>
      <c r="BA57" s="150" t="str">
        <f t="shared" si="12"/>
        <v/>
      </c>
    </row>
    <row r="58" spans="1:53" s="90" customFormat="1" ht="12" customHeight="1" x14ac:dyDescent="0.15">
      <c r="A58" s="51" t="s">
        <v>1551</v>
      </c>
      <c r="B58" s="51" t="s">
        <v>1513</v>
      </c>
      <c r="C58" s="51" t="s">
        <v>1382</v>
      </c>
      <c r="D58" s="51" t="s">
        <v>1339</v>
      </c>
      <c r="E58" s="51" t="s">
        <v>432</v>
      </c>
      <c r="F58" s="85">
        <v>40205</v>
      </c>
      <c r="G58" s="86"/>
      <c r="H58" s="87"/>
      <c r="I58" s="87"/>
      <c r="J58" s="87"/>
      <c r="K58" s="87"/>
      <c r="L58" s="86" t="s">
        <v>391</v>
      </c>
      <c r="M58" s="119"/>
      <c r="N58" s="333" t="str">
        <f>IF(H58="","--",I58/H58)</f>
        <v>--</v>
      </c>
      <c r="O58" s="333" t="str">
        <f>IF(H58="","--",SUM(I58:K58)/H58)</f>
        <v>--</v>
      </c>
      <c r="P58" s="89" t="s">
        <v>1604</v>
      </c>
      <c r="Q58" s="89" t="s">
        <v>343</v>
      </c>
      <c r="R58" s="51" t="s">
        <v>2420</v>
      </c>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13"/>
      <c r="BA58" s="150" t="str">
        <f t="shared" si="12"/>
        <v/>
      </c>
    </row>
    <row r="59" spans="1:53" s="90" customFormat="1" ht="12" customHeight="1" x14ac:dyDescent="0.15">
      <c r="A59" s="51" t="s">
        <v>1551</v>
      </c>
      <c r="B59" s="51" t="s">
        <v>3170</v>
      </c>
      <c r="C59" s="51" t="s">
        <v>1472</v>
      </c>
      <c r="D59" s="51" t="s">
        <v>1491</v>
      </c>
      <c r="E59" s="51" t="s">
        <v>1508</v>
      </c>
      <c r="F59" s="85">
        <v>40333</v>
      </c>
      <c r="G59" s="86"/>
      <c r="H59" s="87"/>
      <c r="I59" s="87"/>
      <c r="J59" s="87"/>
      <c r="K59" s="87"/>
      <c r="L59" s="86" t="s">
        <v>391</v>
      </c>
      <c r="M59" s="119"/>
      <c r="N59" s="333" t="str">
        <f t="shared" si="10"/>
        <v>--</v>
      </c>
      <c r="O59" s="333" t="str">
        <f t="shared" si="11"/>
        <v>--</v>
      </c>
      <c r="P59" s="89" t="s">
        <v>1601</v>
      </c>
      <c r="Q59" s="89"/>
      <c r="R59" s="51" t="s">
        <v>2422</v>
      </c>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13"/>
      <c r="BA59" s="150" t="str">
        <f t="shared" si="12"/>
        <v/>
      </c>
    </row>
    <row r="60" spans="1:53" s="90" customFormat="1" ht="12" customHeight="1" x14ac:dyDescent="0.15">
      <c r="A60" s="51" t="s">
        <v>1551</v>
      </c>
      <c r="B60" s="51" t="s">
        <v>3166</v>
      </c>
      <c r="C60" s="51" t="s">
        <v>1220</v>
      </c>
      <c r="D60" s="51" t="s">
        <v>1221</v>
      </c>
      <c r="E60" s="51" t="s">
        <v>1678</v>
      </c>
      <c r="F60" s="85">
        <v>40268</v>
      </c>
      <c r="G60" s="86"/>
      <c r="H60" s="87"/>
      <c r="I60" s="87"/>
      <c r="J60" s="87"/>
      <c r="K60" s="87"/>
      <c r="L60" s="86" t="s">
        <v>391</v>
      </c>
      <c r="M60" s="119"/>
      <c r="N60" s="333" t="str">
        <f>IF(H60="","--",I60/H60)</f>
        <v>--</v>
      </c>
      <c r="O60" s="333" t="str">
        <f>IF(H60="","--",SUM(I60:K60)/H60)</f>
        <v>--</v>
      </c>
      <c r="P60" s="89"/>
      <c r="Q60" s="89" t="s">
        <v>1679</v>
      </c>
      <c r="R60" s="51" t="s">
        <v>1489</v>
      </c>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13"/>
      <c r="BA60" s="150" t="str">
        <f t="shared" si="12"/>
        <v/>
      </c>
    </row>
    <row r="61" spans="1:53" ht="12" customHeight="1" x14ac:dyDescent="0.15">
      <c r="G61" s="96"/>
      <c r="H61" s="103"/>
      <c r="I61" s="103"/>
      <c r="J61" s="103"/>
      <c r="K61" s="103"/>
      <c r="L61" s="100"/>
      <c r="M61" s="100"/>
      <c r="N61" s="100"/>
      <c r="O61" s="100"/>
      <c r="P61" s="149"/>
      <c r="Q61" s="149"/>
      <c r="BA61" s="141" t="str">
        <f t="shared" si="12"/>
        <v/>
      </c>
    </row>
    <row r="62" spans="1:53" ht="12" customHeight="1" x14ac:dyDescent="0.15">
      <c r="D62" s="110" t="s">
        <v>3479</v>
      </c>
      <c r="L62" s="21"/>
      <c r="M62" s="21"/>
      <c r="N62" s="8"/>
      <c r="O62" s="8"/>
      <c r="P62" s="7"/>
      <c r="BA62" s="141"/>
    </row>
    <row r="63" spans="1:53" s="90" customFormat="1" ht="12" customHeight="1" x14ac:dyDescent="0.15">
      <c r="A63" s="70"/>
      <c r="B63" s="70"/>
      <c r="C63" s="70"/>
      <c r="D63" s="70"/>
      <c r="E63" s="70"/>
      <c r="F63" s="91"/>
      <c r="G63" s="92"/>
      <c r="H63" s="93"/>
      <c r="I63" s="93"/>
      <c r="J63" s="93"/>
      <c r="K63" s="93"/>
      <c r="L63" s="92"/>
      <c r="M63" s="92"/>
      <c r="N63" s="92"/>
      <c r="O63" s="92"/>
      <c r="P63" s="95"/>
      <c r="Q63" s="95"/>
      <c r="R63" s="70"/>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13"/>
      <c r="BA63" s="150" t="str">
        <f>IF(I63="","",IF(I63=0,0,1))</f>
        <v/>
      </c>
    </row>
    <row r="64" spans="1:53" ht="12" customHeight="1" x14ac:dyDescent="0.15">
      <c r="G64" s="11" t="s">
        <v>1573</v>
      </c>
      <c r="H64" s="75">
        <f>COUNT(L2:L63)</f>
        <v>34</v>
      </c>
      <c r="I64" s="104"/>
      <c r="J64" s="104"/>
      <c r="K64" s="104"/>
      <c r="L64" s="165"/>
      <c r="M64" s="165"/>
      <c r="N64" s="165"/>
      <c r="O64" s="165"/>
      <c r="P64" s="149"/>
      <c r="Q64" s="149"/>
    </row>
    <row r="65" spans="1:53" ht="12" customHeight="1" x14ac:dyDescent="0.15">
      <c r="G65" s="11" t="s">
        <v>1588</v>
      </c>
      <c r="H65" s="75">
        <f>BA65</f>
        <v>25</v>
      </c>
      <c r="I65" s="104"/>
      <c r="J65" s="104"/>
      <c r="K65" s="104"/>
      <c r="L65" s="165"/>
      <c r="M65" s="165"/>
      <c r="N65" s="165"/>
      <c r="O65" s="165"/>
      <c r="P65" s="149"/>
      <c r="Q65" s="149"/>
      <c r="BA65" s="14">
        <f>SUM(BA2:BA63)</f>
        <v>25</v>
      </c>
    </row>
    <row r="66" spans="1:53" ht="12" customHeight="1" x14ac:dyDescent="0.15">
      <c r="G66" s="11" t="s">
        <v>1589</v>
      </c>
      <c r="H66" s="124">
        <f>H65/H64</f>
        <v>0.73529411764705888</v>
      </c>
      <c r="I66" s="104"/>
      <c r="J66" s="104"/>
      <c r="K66" s="104"/>
      <c r="L66" s="165"/>
      <c r="M66" s="165"/>
      <c r="N66" s="165"/>
      <c r="O66" s="165"/>
      <c r="P66" s="149"/>
      <c r="Q66" s="149"/>
    </row>
    <row r="67" spans="1:53" ht="12" customHeight="1" x14ac:dyDescent="0.15">
      <c r="G67" s="166"/>
      <c r="H67" s="104"/>
      <c r="I67" s="104"/>
      <c r="J67" s="104"/>
      <c r="K67" s="104"/>
      <c r="L67" s="165"/>
      <c r="M67" s="165"/>
      <c r="N67" s="165"/>
      <c r="O67" s="165"/>
      <c r="P67" s="149"/>
      <c r="Q67" s="149"/>
    </row>
    <row r="68" spans="1:53" ht="12" customHeight="1" x14ac:dyDescent="0.15">
      <c r="H68" s="103"/>
      <c r="I68" s="103"/>
      <c r="J68" s="103"/>
      <c r="K68" s="103"/>
      <c r="L68" s="160"/>
      <c r="M68" s="160"/>
      <c r="N68" s="160"/>
      <c r="O68" s="160"/>
      <c r="P68" s="103"/>
      <c r="Q68" s="103"/>
    </row>
    <row r="69" spans="1:53" ht="12" customHeight="1" x14ac:dyDescent="0.15">
      <c r="A69" s="167"/>
      <c r="F69" s="105" t="s">
        <v>852</v>
      </c>
      <c r="G69" s="131">
        <f>SUM(G$6:G$63)/COUNTA(G$6:G$63)</f>
        <v>17860.869565217392</v>
      </c>
      <c r="H69" s="132"/>
      <c r="I69" s="132"/>
      <c r="J69" s="132"/>
      <c r="K69" s="132"/>
      <c r="L69" s="152"/>
      <c r="M69" s="152"/>
      <c r="N69" s="152"/>
      <c r="O69" s="152"/>
      <c r="P69" s="133"/>
      <c r="Q69" s="133"/>
    </row>
    <row r="70" spans="1:53" ht="12" customHeight="1" x14ac:dyDescent="0.15">
      <c r="F70" s="105"/>
      <c r="G70" s="151"/>
      <c r="H70" s="132"/>
      <c r="I70" s="132"/>
      <c r="J70" s="132"/>
      <c r="K70" s="132"/>
      <c r="L70" s="152"/>
      <c r="M70" s="152"/>
      <c r="N70" s="152"/>
      <c r="O70" s="152"/>
      <c r="P70" s="133"/>
      <c r="Q70" s="133"/>
    </row>
    <row r="71" spans="1:53" ht="12" customHeight="1" x14ac:dyDescent="0.15">
      <c r="F71" s="105"/>
      <c r="G71" s="153" t="s">
        <v>1148</v>
      </c>
      <c r="H71" s="154">
        <f>SUM(H$2:H$61)</f>
        <v>611</v>
      </c>
      <c r="I71" s="154">
        <f>SUM(I$2:I$65)</f>
        <v>100</v>
      </c>
      <c r="J71" s="154">
        <f>SUM(J$2:J$65)</f>
        <v>82</v>
      </c>
      <c r="K71" s="154">
        <f>SUM(K$2:K$65)</f>
        <v>72</v>
      </c>
      <c r="L71" s="86">
        <f>SUM(L$2:L$65)</f>
        <v>3569272</v>
      </c>
      <c r="M71" s="92"/>
      <c r="N71" s="92"/>
      <c r="O71" s="92"/>
      <c r="P71" s="155"/>
      <c r="Q71" s="155"/>
      <c r="R71" s="37" t="s">
        <v>361</v>
      </c>
    </row>
    <row r="72" spans="1:53" ht="12" customHeight="1" x14ac:dyDescent="0.15">
      <c r="F72" s="105"/>
      <c r="G72" s="123" t="s">
        <v>1273</v>
      </c>
      <c r="H72" s="154"/>
      <c r="I72" s="154"/>
      <c r="J72" s="154"/>
      <c r="K72" s="154"/>
      <c r="L72" s="86">
        <f>L71/H71</f>
        <v>5841.6890343698851</v>
      </c>
      <c r="M72" s="92"/>
      <c r="N72" s="92"/>
      <c r="O72" s="92"/>
      <c r="P72" s="155"/>
      <c r="Q72" s="155"/>
      <c r="R72" s="37"/>
    </row>
    <row r="73" spans="1:53" ht="12" customHeight="1" x14ac:dyDescent="0.15">
      <c r="F73" s="71"/>
      <c r="G73" s="21" t="s">
        <v>1252</v>
      </c>
      <c r="H73" s="124">
        <f>I71/H71</f>
        <v>0.16366612111292964</v>
      </c>
      <c r="P73" s="7"/>
      <c r="Q73" s="7"/>
    </row>
    <row r="74" spans="1:53" s="112" customFormat="1" ht="12" customHeight="1" x14ac:dyDescent="0.15">
      <c r="A74" s="110"/>
      <c r="B74" s="110"/>
      <c r="C74" s="110"/>
      <c r="D74" s="110"/>
      <c r="E74" s="110"/>
      <c r="F74" s="107"/>
      <c r="G74" s="21" t="s">
        <v>1253</v>
      </c>
      <c r="H74" s="124">
        <f>(SUM(I71:K71)/H71)</f>
        <v>0.41571194762684122</v>
      </c>
      <c r="I74" s="134"/>
      <c r="J74" s="134"/>
      <c r="K74" s="134"/>
      <c r="L74" s="158"/>
      <c r="M74" s="158"/>
      <c r="N74" s="158"/>
      <c r="O74" s="158"/>
      <c r="P74" s="159"/>
      <c r="Q74" s="159"/>
      <c r="R74" s="110"/>
      <c r="BA74" s="111"/>
    </row>
    <row r="75" spans="1:53" ht="12" customHeight="1" x14ac:dyDescent="0.15">
      <c r="H75" s="103"/>
      <c r="I75" s="103"/>
      <c r="J75" s="103"/>
      <c r="K75" s="103"/>
      <c r="L75" s="160"/>
      <c r="M75" s="160"/>
      <c r="N75" s="160"/>
      <c r="O75" s="160"/>
      <c r="P75" s="127"/>
      <c r="Q75" s="127"/>
    </row>
    <row r="76" spans="1:53" ht="12" customHeight="1" x14ac:dyDescent="0.15">
      <c r="H76" s="103"/>
      <c r="I76" s="103"/>
      <c r="J76" s="103"/>
      <c r="K76" s="103"/>
      <c r="L76" s="160"/>
      <c r="M76" s="160"/>
      <c r="N76" s="160"/>
      <c r="O76" s="160"/>
      <c r="P76" s="127"/>
      <c r="Q76" s="127"/>
    </row>
    <row r="77" spans="1:53" s="112" customFormat="1" ht="12" customHeight="1" x14ac:dyDescent="0.15">
      <c r="A77" s="126" t="s">
        <v>612</v>
      </c>
      <c r="B77" s="128"/>
      <c r="C77" s="110"/>
      <c r="D77" s="110"/>
      <c r="E77" s="110"/>
      <c r="F77" s="107"/>
      <c r="G77" s="125"/>
      <c r="H77" s="103"/>
      <c r="I77" s="103"/>
      <c r="J77" s="103"/>
      <c r="K77" s="103"/>
      <c r="L77" s="160"/>
      <c r="M77" s="160"/>
      <c r="N77" s="160"/>
      <c r="O77" s="160"/>
      <c r="P77" s="127"/>
      <c r="Q77" s="127"/>
      <c r="R77" s="134"/>
      <c r="BA77" s="111"/>
    </row>
    <row r="78" spans="1:53" ht="12" customHeight="1" x14ac:dyDescent="0.15">
      <c r="C78" s="6" t="s">
        <v>921</v>
      </c>
      <c r="D78" s="6" t="s">
        <v>1229</v>
      </c>
      <c r="H78" s="103"/>
      <c r="I78" s="103"/>
      <c r="J78" s="103"/>
      <c r="K78" s="103"/>
      <c r="L78" s="160"/>
      <c r="M78" s="160"/>
      <c r="N78" s="160"/>
      <c r="O78" s="160"/>
      <c r="P78" s="103"/>
      <c r="Q78" s="103"/>
      <c r="R78" s="6" t="s">
        <v>1237</v>
      </c>
    </row>
    <row r="79" spans="1:53" ht="12" customHeight="1" x14ac:dyDescent="0.15">
      <c r="C79" s="6" t="s">
        <v>1218</v>
      </c>
      <c r="D79" s="6" t="s">
        <v>1224</v>
      </c>
      <c r="H79" s="103"/>
      <c r="I79" s="103"/>
      <c r="J79" s="103"/>
      <c r="K79" s="103"/>
      <c r="L79" s="160"/>
      <c r="M79" s="160"/>
      <c r="N79" s="160"/>
      <c r="O79" s="160"/>
      <c r="P79" s="103"/>
      <c r="Q79" s="103"/>
      <c r="R79" s="6" t="s">
        <v>1495</v>
      </c>
    </row>
    <row r="80" spans="1:53" ht="12" customHeight="1" x14ac:dyDescent="0.15">
      <c r="C80" s="6" t="s">
        <v>1238</v>
      </c>
      <c r="D80" s="6" t="s">
        <v>1004</v>
      </c>
      <c r="H80" s="103"/>
      <c r="I80" s="103"/>
      <c r="J80" s="103"/>
      <c r="K80" s="103"/>
      <c r="L80" s="160"/>
      <c r="M80" s="160"/>
      <c r="N80" s="160"/>
      <c r="O80" s="160"/>
      <c r="P80" s="103"/>
      <c r="Q80" s="103"/>
      <c r="R80" s="6" t="s">
        <v>1488</v>
      </c>
    </row>
    <row r="81" spans="1:17" ht="12" customHeight="1" x14ac:dyDescent="0.15">
      <c r="H81" s="103"/>
      <c r="I81" s="103"/>
      <c r="J81" s="103"/>
      <c r="K81" s="103"/>
      <c r="L81" s="160"/>
      <c r="M81" s="160"/>
      <c r="N81" s="160"/>
      <c r="O81" s="160"/>
      <c r="P81" s="103"/>
      <c r="Q81" s="103"/>
    </row>
    <row r="82" spans="1:17" ht="12" customHeight="1" x14ac:dyDescent="0.15">
      <c r="H82" s="103"/>
      <c r="I82" s="103"/>
      <c r="J82" s="103"/>
      <c r="K82" s="103"/>
      <c r="L82" s="160"/>
      <c r="M82" s="160"/>
      <c r="N82" s="160"/>
      <c r="O82" s="160"/>
      <c r="P82" s="127"/>
      <c r="Q82" s="127"/>
    </row>
    <row r="83" spans="1:17" ht="12" customHeight="1" x14ac:dyDescent="0.15">
      <c r="H83" s="103"/>
      <c r="I83" s="103"/>
      <c r="J83" s="103"/>
      <c r="K83" s="103"/>
      <c r="L83" s="160"/>
      <c r="M83" s="160"/>
      <c r="N83" s="160"/>
      <c r="O83" s="160"/>
      <c r="P83" s="127"/>
      <c r="Q83" s="127"/>
    </row>
    <row r="84" spans="1:17" ht="12" customHeight="1" x14ac:dyDescent="0.15">
      <c r="A84" s="135" t="s">
        <v>1681</v>
      </c>
      <c r="H84" s="103"/>
      <c r="I84" s="103"/>
      <c r="J84" s="103"/>
      <c r="K84" s="103"/>
      <c r="L84" s="160"/>
      <c r="M84" s="160"/>
      <c r="N84" s="160"/>
      <c r="O84" s="160"/>
      <c r="P84" s="127"/>
      <c r="Q84" s="127"/>
    </row>
    <row r="85" spans="1:17" ht="12" customHeight="1" x14ac:dyDescent="0.15">
      <c r="H85" s="103"/>
      <c r="I85" s="103"/>
      <c r="J85" s="103"/>
      <c r="K85" s="103"/>
      <c r="L85" s="160"/>
      <c r="M85" s="160"/>
      <c r="N85" s="160"/>
      <c r="O85" s="160"/>
      <c r="P85" s="127"/>
      <c r="Q85" s="127"/>
    </row>
    <row r="86" spans="1:17" ht="12" customHeight="1" x14ac:dyDescent="0.15">
      <c r="H86" s="103"/>
      <c r="I86" s="103"/>
      <c r="J86" s="103"/>
      <c r="K86" s="103"/>
      <c r="L86" s="160"/>
      <c r="M86" s="160"/>
      <c r="N86" s="160"/>
      <c r="O86" s="160"/>
      <c r="P86" s="127"/>
      <c r="Q86" s="127"/>
    </row>
    <row r="87" spans="1:17" ht="12" customHeight="1" x14ac:dyDescent="0.15">
      <c r="H87" s="103"/>
      <c r="I87" s="103"/>
      <c r="J87" s="103"/>
      <c r="K87" s="103"/>
      <c r="L87" s="160"/>
      <c r="M87" s="160"/>
      <c r="N87" s="160"/>
      <c r="O87" s="160"/>
      <c r="P87" s="127"/>
      <c r="Q87" s="127"/>
    </row>
    <row r="88" spans="1:17" ht="12" customHeight="1" x14ac:dyDescent="0.15">
      <c r="H88" s="103"/>
      <c r="I88" s="103"/>
      <c r="J88" s="103"/>
      <c r="K88" s="103"/>
      <c r="L88" s="160"/>
      <c r="M88" s="160"/>
      <c r="N88" s="160"/>
      <c r="O88" s="160"/>
      <c r="P88" s="127"/>
      <c r="Q88" s="127"/>
    </row>
    <row r="89" spans="1:17" x14ac:dyDescent="0.15">
      <c r="H89" s="103"/>
      <c r="I89" s="103"/>
      <c r="J89" s="103"/>
      <c r="K89" s="103"/>
      <c r="L89" s="160"/>
      <c r="M89" s="160"/>
      <c r="N89" s="160"/>
      <c r="O89" s="160"/>
      <c r="P89" s="127"/>
      <c r="Q89" s="127"/>
    </row>
    <row r="90" spans="1:17" x14ac:dyDescent="0.15">
      <c r="H90" s="103"/>
      <c r="I90" s="103"/>
      <c r="J90" s="103"/>
      <c r="K90" s="103"/>
      <c r="L90" s="160"/>
      <c r="M90" s="160"/>
      <c r="N90" s="160"/>
      <c r="O90" s="160"/>
      <c r="P90" s="127"/>
      <c r="Q90" s="127"/>
    </row>
    <row r="91" spans="1:17" x14ac:dyDescent="0.15">
      <c r="H91" s="103"/>
      <c r="I91" s="103"/>
      <c r="J91" s="103"/>
      <c r="K91" s="103"/>
      <c r="L91" s="160"/>
      <c r="M91" s="160"/>
      <c r="N91" s="160"/>
      <c r="O91" s="160"/>
      <c r="P91" s="127"/>
      <c r="Q91" s="127"/>
    </row>
    <row r="92" spans="1:17" x14ac:dyDescent="0.15">
      <c r="H92" s="103"/>
      <c r="I92" s="103"/>
      <c r="J92" s="103"/>
      <c r="K92" s="103"/>
      <c r="L92" s="160"/>
      <c r="M92" s="160"/>
      <c r="N92" s="160"/>
      <c r="O92" s="160"/>
      <c r="P92" s="127"/>
      <c r="Q92" s="127"/>
    </row>
  </sheetData>
  <sortState ref="A19:AX40">
    <sortCondition ref="C19:C40"/>
  </sortState>
  <phoneticPr fontId="4" type="noConversion"/>
  <pageMargins left="0.7" right="0.7" top="0.75" bottom="0.75" header="0.3" footer="0.3"/>
  <pageSetup orientation="portrait"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0"/>
  <sheetViews>
    <sheetView workbookViewId="0">
      <pane ySplit="3" topLeftCell="A4" activePane="bottomLeft" state="frozen"/>
      <selection pane="bottomLeft" activeCell="B17" sqref="B17"/>
    </sheetView>
  </sheetViews>
  <sheetFormatPr baseColWidth="10" defaultColWidth="9.1640625" defaultRowHeight="12" x14ac:dyDescent="0.15"/>
  <cols>
    <col min="1" max="1" width="18.83203125" style="6" customWidth="1"/>
    <col min="2" max="2" width="12.33203125" style="6" customWidth="1"/>
    <col min="3" max="3" width="23.33203125" style="6" customWidth="1"/>
    <col min="4" max="5" width="17.1640625" style="6" customWidth="1"/>
    <col min="6" max="6" width="11.1640625" style="101" customWidth="1"/>
    <col min="7" max="7" width="10.33203125" style="102" customWidth="1"/>
    <col min="8" max="8" width="5.5" style="75" customWidth="1"/>
    <col min="9" max="11" width="3.5" style="75" customWidth="1"/>
    <col min="12" max="12" width="9.5" style="21" customWidth="1"/>
    <col min="13" max="13" width="9.6640625" style="21" customWidth="1"/>
    <col min="14" max="15" width="5.33203125" style="8" customWidth="1"/>
    <col min="16" max="16" width="14.6640625" style="75" customWidth="1"/>
    <col min="17" max="17" width="12.83203125" style="75" customWidth="1"/>
    <col min="18" max="18" width="9.1640625" style="6"/>
    <col min="19" max="22" width="9.1640625" style="13"/>
    <col min="23" max="23" width="2.6640625" style="13" customWidth="1"/>
    <col min="24" max="16384" width="9.1640625" style="13"/>
  </cols>
  <sheetData>
    <row r="1" spans="1:53" ht="12" customHeight="1" x14ac:dyDescent="0.15"/>
    <row r="2" spans="1:53" ht="12" customHeight="1" x14ac:dyDescent="0.15">
      <c r="A2" s="72"/>
      <c r="F2" s="73"/>
      <c r="G2" s="74" t="s">
        <v>436</v>
      </c>
      <c r="K2" s="76"/>
      <c r="L2" s="74" t="s">
        <v>624</v>
      </c>
      <c r="M2" s="74"/>
      <c r="N2" s="332"/>
      <c r="O2" s="332"/>
      <c r="P2" s="37"/>
      <c r="Q2" s="7"/>
      <c r="R2" s="7"/>
      <c r="S2" s="38"/>
      <c r="T2" s="38"/>
      <c r="U2" s="38"/>
      <c r="AC2" s="77"/>
    </row>
    <row r="3" spans="1:53" s="84" customFormat="1" ht="44" customHeight="1" thickBot="1" x14ac:dyDescent="0.2">
      <c r="A3" s="78" t="s">
        <v>720</v>
      </c>
      <c r="B3" s="78" t="s">
        <v>710</v>
      </c>
      <c r="C3" s="78" t="s">
        <v>844</v>
      </c>
      <c r="D3" s="78" t="s">
        <v>670</v>
      </c>
      <c r="E3" s="78" t="s">
        <v>310</v>
      </c>
      <c r="F3" s="79" t="s">
        <v>845</v>
      </c>
      <c r="G3" s="80" t="s">
        <v>635</v>
      </c>
      <c r="H3" s="81" t="s">
        <v>392</v>
      </c>
      <c r="I3" s="81" t="s">
        <v>393</v>
      </c>
      <c r="J3" s="81" t="s">
        <v>394</v>
      </c>
      <c r="K3" s="81" t="s">
        <v>395</v>
      </c>
      <c r="L3" s="82" t="s">
        <v>647</v>
      </c>
      <c r="M3" s="82" t="s">
        <v>1977</v>
      </c>
      <c r="N3" s="190" t="s">
        <v>2301</v>
      </c>
      <c r="O3" s="190" t="s">
        <v>2302</v>
      </c>
      <c r="P3" s="81" t="s">
        <v>120</v>
      </c>
      <c r="Q3" s="81" t="s">
        <v>1242</v>
      </c>
      <c r="R3" s="78" t="s">
        <v>669</v>
      </c>
    </row>
    <row r="4" spans="1:53" s="140" customFormat="1" ht="12" customHeight="1" thickTop="1" x14ac:dyDescent="0.15">
      <c r="A4" s="58" t="s">
        <v>33</v>
      </c>
      <c r="B4" s="58" t="s">
        <v>1763</v>
      </c>
      <c r="C4" s="58" t="s">
        <v>59</v>
      </c>
      <c r="D4" s="58" t="s">
        <v>50</v>
      </c>
      <c r="E4" s="58" t="s">
        <v>35</v>
      </c>
      <c r="F4" s="137">
        <v>40634</v>
      </c>
      <c r="G4" s="138"/>
      <c r="H4" s="139">
        <v>17</v>
      </c>
      <c r="I4" s="139">
        <v>3</v>
      </c>
      <c r="J4" s="139">
        <v>1</v>
      </c>
      <c r="K4" s="139">
        <v>2</v>
      </c>
      <c r="L4" s="138">
        <f>1200+12000+0+0+153+465+3200+2000+5400+180+355+71+90+85+70+4200+1200+600+330</f>
        <v>31599</v>
      </c>
      <c r="M4" s="138">
        <f t="shared" ref="M4:M9" si="0">IF(I4="","",L4/H4)</f>
        <v>1858.7647058823529</v>
      </c>
      <c r="N4" s="336">
        <f>IF(H4="","--",I4/H4)</f>
        <v>0.17647058823529413</v>
      </c>
      <c r="O4" s="336">
        <f>IF(H4="","--",SUM(I4:K4)/H4)</f>
        <v>0.35294117647058826</v>
      </c>
      <c r="P4" s="56" t="s">
        <v>5665</v>
      </c>
      <c r="Q4" s="56" t="s">
        <v>3661</v>
      </c>
      <c r="R4" s="139" t="s">
        <v>2</v>
      </c>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BA4" s="141">
        <f t="shared" ref="BA4:BA9" si="1">IF(I4="","",IF(I4=0,0,1))</f>
        <v>1</v>
      </c>
    </row>
    <row r="5" spans="1:53" s="140" customFormat="1" ht="12" customHeight="1" x14ac:dyDescent="0.15">
      <c r="A5" s="58" t="s">
        <v>1534</v>
      </c>
      <c r="B5" s="58" t="s">
        <v>1895</v>
      </c>
      <c r="C5" s="58" t="s">
        <v>1536</v>
      </c>
      <c r="D5" s="58" t="s">
        <v>1541</v>
      </c>
      <c r="E5" s="58" t="s">
        <v>1535</v>
      </c>
      <c r="F5" s="137">
        <v>40602</v>
      </c>
      <c r="G5" s="138"/>
      <c r="H5" s="139">
        <v>32</v>
      </c>
      <c r="I5" s="139">
        <v>5</v>
      </c>
      <c r="J5" s="139">
        <v>3</v>
      </c>
      <c r="K5" s="139">
        <v>1</v>
      </c>
      <c r="L5" s="138">
        <f>1500+1740+12040+16800+2100+1050+375+1380+1380+1200+13440+14280+250+5040+250+250+15120+630+480+2464+250+300+250+1080+250+7560+250+0+1888+0</f>
        <v>103597</v>
      </c>
      <c r="M5" s="138">
        <f t="shared" si="0"/>
        <v>3237.40625</v>
      </c>
      <c r="N5" s="336">
        <f>I5/H5</f>
        <v>0.15625</v>
      </c>
      <c r="O5" s="336">
        <f>SUM(I5:K5)/H5</f>
        <v>0.28125</v>
      </c>
      <c r="P5" s="56" t="s">
        <v>5394</v>
      </c>
      <c r="Q5" s="56" t="s">
        <v>1311</v>
      </c>
      <c r="R5" s="13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BA5" s="141">
        <f t="shared" si="1"/>
        <v>1</v>
      </c>
    </row>
    <row r="6" spans="1:53" s="140" customFormat="1" ht="12" customHeight="1" x14ac:dyDescent="0.15">
      <c r="A6" s="58" t="s">
        <v>1953</v>
      </c>
      <c r="B6" s="58" t="s">
        <v>1929</v>
      </c>
      <c r="C6" s="58" t="s">
        <v>1240</v>
      </c>
      <c r="D6" s="58" t="s">
        <v>1271</v>
      </c>
      <c r="E6" s="58" t="s">
        <v>1335</v>
      </c>
      <c r="F6" s="137">
        <v>40617</v>
      </c>
      <c r="G6" s="138">
        <v>29000</v>
      </c>
      <c r="H6" s="139">
        <v>17</v>
      </c>
      <c r="I6" s="139">
        <v>2</v>
      </c>
      <c r="J6" s="139">
        <v>2</v>
      </c>
      <c r="K6" s="139">
        <v>4</v>
      </c>
      <c r="L6" s="138">
        <f>61028+885+7080</f>
        <v>68993</v>
      </c>
      <c r="M6" s="138">
        <f t="shared" si="0"/>
        <v>4058.4117647058824</v>
      </c>
      <c r="N6" s="336">
        <f>IF(H6="","--",I6/H6)</f>
        <v>0.11764705882352941</v>
      </c>
      <c r="O6" s="336">
        <f>IF(H6="","--",SUM(I6:K6)/H6)</f>
        <v>0.47058823529411764</v>
      </c>
      <c r="P6" s="56" t="s">
        <v>5617</v>
      </c>
      <c r="Q6" s="56" t="s">
        <v>1809</v>
      </c>
      <c r="R6" s="139" t="s">
        <v>1892</v>
      </c>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BA6" s="141">
        <f t="shared" si="1"/>
        <v>1</v>
      </c>
    </row>
    <row r="7" spans="1:53" s="140" customFormat="1" ht="12" customHeight="1" x14ac:dyDescent="0.15">
      <c r="A7" s="58" t="s">
        <v>1943</v>
      </c>
      <c r="B7" s="58" t="s">
        <v>2353</v>
      </c>
      <c r="C7" s="58" t="s">
        <v>1570</v>
      </c>
      <c r="D7" s="58" t="s">
        <v>1562</v>
      </c>
      <c r="E7" s="58" t="s">
        <v>1811</v>
      </c>
      <c r="F7" s="137">
        <v>40632</v>
      </c>
      <c r="G7" s="138"/>
      <c r="H7" s="139">
        <v>20</v>
      </c>
      <c r="I7" s="139">
        <v>3</v>
      </c>
      <c r="J7" s="139">
        <v>5</v>
      </c>
      <c r="K7" s="139">
        <v>3</v>
      </c>
      <c r="L7" s="138">
        <f>121790+1980</f>
        <v>123770</v>
      </c>
      <c r="M7" s="138">
        <f t="shared" si="0"/>
        <v>6188.5</v>
      </c>
      <c r="N7" s="336">
        <f>IF(H7="","--",I7/H7)</f>
        <v>0.15</v>
      </c>
      <c r="O7" s="336">
        <f>IF(H7="","--",SUM(I7:K7)/H7)</f>
        <v>0.55000000000000004</v>
      </c>
      <c r="P7" s="56" t="s">
        <v>5685</v>
      </c>
      <c r="Q7" s="56" t="s">
        <v>1313</v>
      </c>
      <c r="R7" s="139" t="s">
        <v>5544</v>
      </c>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BA7" s="141">
        <f t="shared" si="1"/>
        <v>1</v>
      </c>
    </row>
    <row r="8" spans="1:53" s="140" customFormat="1" ht="12" customHeight="1" x14ac:dyDescent="0.15">
      <c r="A8" s="58" t="s">
        <v>36</v>
      </c>
      <c r="B8" s="58" t="s">
        <v>1763</v>
      </c>
      <c r="C8" s="58" t="s">
        <v>37</v>
      </c>
      <c r="D8" s="58" t="s">
        <v>923</v>
      </c>
      <c r="E8" s="58" t="s">
        <v>35</v>
      </c>
      <c r="F8" s="137">
        <v>40646</v>
      </c>
      <c r="G8" s="138">
        <v>1500</v>
      </c>
      <c r="H8" s="139">
        <v>43</v>
      </c>
      <c r="I8" s="139">
        <v>7</v>
      </c>
      <c r="J8" s="139">
        <v>5</v>
      </c>
      <c r="K8" s="139">
        <v>5</v>
      </c>
      <c r="L8" s="138">
        <f>175+9720+4510+2460+2460+648+6200+128+765+575+75+6300+75+650+1705+1815+8400+495+0+7920+1155+2500+375+750+0+0+0+1860+560+7500+375+750+720+174+2376+1529+600+1200+165+3900+6420+100+3300</f>
        <v>91385</v>
      </c>
      <c r="M8" s="138">
        <f t="shared" si="0"/>
        <v>2125.2325581395348</v>
      </c>
      <c r="N8" s="336">
        <f>I8/H8</f>
        <v>0.16279069767441862</v>
      </c>
      <c r="O8" s="336">
        <f>SUM(I8:K8)/H8</f>
        <v>0.39534883720930231</v>
      </c>
      <c r="P8" s="56" t="s">
        <v>5689</v>
      </c>
      <c r="Q8" s="56" t="s">
        <v>4611</v>
      </c>
      <c r="R8" s="139" t="s">
        <v>5668</v>
      </c>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BA8" s="141">
        <f t="shared" si="1"/>
        <v>1</v>
      </c>
    </row>
    <row r="9" spans="1:53" s="90" customFormat="1" ht="12" customHeight="1" x14ac:dyDescent="0.15">
      <c r="A9" s="142" t="s">
        <v>2121</v>
      </c>
      <c r="B9" s="142" t="s">
        <v>2213</v>
      </c>
      <c r="C9" s="142" t="s">
        <v>1305</v>
      </c>
      <c r="D9" s="142" t="s">
        <v>1304</v>
      </c>
      <c r="E9" s="142" t="s">
        <v>1289</v>
      </c>
      <c r="F9" s="143">
        <v>40679</v>
      </c>
      <c r="G9" s="144"/>
      <c r="H9" s="145">
        <v>14</v>
      </c>
      <c r="I9" s="145">
        <v>0</v>
      </c>
      <c r="J9" s="145">
        <v>3</v>
      </c>
      <c r="K9" s="145">
        <v>1</v>
      </c>
      <c r="L9" s="146">
        <f>500+1740+1320+10360+500+500+6720+500+3850+300+5040+540+1080+250</f>
        <v>33200</v>
      </c>
      <c r="M9" s="146">
        <f t="shared" si="0"/>
        <v>2371.4285714285716</v>
      </c>
      <c r="N9" s="337">
        <f>IF(H9="","--",I9/H9)</f>
        <v>0</v>
      </c>
      <c r="O9" s="337">
        <f>IF(H9="","--",SUM(I9:K9)/H9)</f>
        <v>0.2857142857142857</v>
      </c>
      <c r="P9" s="147" t="s">
        <v>5180</v>
      </c>
      <c r="Q9" s="147" t="s">
        <v>1311</v>
      </c>
      <c r="R9" s="142" t="s">
        <v>2202</v>
      </c>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BA9" s="141">
        <f t="shared" si="1"/>
        <v>0</v>
      </c>
    </row>
    <row r="10" spans="1:53" s="90" customFormat="1" ht="12" customHeight="1" x14ac:dyDescent="0.15">
      <c r="A10" s="142" t="s">
        <v>1670</v>
      </c>
      <c r="B10" s="142" t="s">
        <v>1921</v>
      </c>
      <c r="C10" s="142" t="s">
        <v>1580</v>
      </c>
      <c r="D10" s="142" t="s">
        <v>1582</v>
      </c>
      <c r="E10" s="142" t="s">
        <v>1555</v>
      </c>
      <c r="F10" s="143">
        <v>40663</v>
      </c>
      <c r="G10" s="144">
        <v>2500</v>
      </c>
      <c r="H10" s="145">
        <v>3</v>
      </c>
      <c r="I10" s="145">
        <v>0</v>
      </c>
      <c r="J10" s="145">
        <v>1</v>
      </c>
      <c r="K10" s="145">
        <v>0</v>
      </c>
      <c r="L10" s="146">
        <f>270+909+1200</f>
        <v>2379</v>
      </c>
      <c r="M10" s="146">
        <f>IF(I10="","",L10/H10)</f>
        <v>793</v>
      </c>
      <c r="N10" s="337">
        <f>IF(H10="","--",I10/H10)</f>
        <v>0</v>
      </c>
      <c r="O10" s="337">
        <f>IF(H10="","--",SUM(I10:K10)/H10)</f>
        <v>0.33333333333333331</v>
      </c>
      <c r="P10" s="147" t="s">
        <v>5351</v>
      </c>
      <c r="Q10" s="147" t="s">
        <v>4367</v>
      </c>
      <c r="R10" s="142" t="s">
        <v>2120</v>
      </c>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BA10" s="141">
        <f>IF(I10="","",IF(I10=0,0,1))</f>
        <v>0</v>
      </c>
    </row>
    <row r="11" spans="1:53" s="90" customFormat="1" ht="12" customHeight="1" x14ac:dyDescent="0.15">
      <c r="A11" s="142" t="s">
        <v>2365</v>
      </c>
      <c r="B11" s="142" t="s">
        <v>111</v>
      </c>
      <c r="C11" s="142" t="s">
        <v>106</v>
      </c>
      <c r="D11" s="142" t="s">
        <v>1917</v>
      </c>
      <c r="E11" s="142" t="s">
        <v>1379</v>
      </c>
      <c r="F11" s="143">
        <v>40550</v>
      </c>
      <c r="G11" s="144"/>
      <c r="H11" s="145">
        <v>1</v>
      </c>
      <c r="I11" s="145">
        <v>0</v>
      </c>
      <c r="J11" s="145">
        <v>0</v>
      </c>
      <c r="K11" s="145">
        <v>0</v>
      </c>
      <c r="L11" s="146">
        <v>345</v>
      </c>
      <c r="M11" s="146">
        <f>IF(I11="","",L11/H11)</f>
        <v>345</v>
      </c>
      <c r="N11" s="337">
        <f>IF(H11="","--",I11/H11)</f>
        <v>0</v>
      </c>
      <c r="O11" s="337">
        <f>IF(H11="","--",SUM(I11:K11)/H11)</f>
        <v>0</v>
      </c>
      <c r="P11" s="147" t="s">
        <v>5298</v>
      </c>
      <c r="Q11" s="147" t="s">
        <v>3490</v>
      </c>
      <c r="R11" s="142" t="s">
        <v>2366</v>
      </c>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BA11" s="141">
        <f>IF(I11="","",IF(I11=0,0,1))</f>
        <v>0</v>
      </c>
    </row>
    <row r="12" spans="1:53" ht="12" customHeight="1" x14ac:dyDescent="0.15">
      <c r="M12" s="119"/>
      <c r="N12" s="64"/>
      <c r="O12" s="64"/>
      <c r="P12" s="7"/>
      <c r="BA12" s="141" t="str">
        <f t="shared" ref="BA12:BA23" si="2">IF(I12="","",IF(I12=0,0,1))</f>
        <v/>
      </c>
    </row>
    <row r="13" spans="1:53" ht="12" customHeight="1" x14ac:dyDescent="0.15">
      <c r="A13" s="110" t="s">
        <v>417</v>
      </c>
      <c r="G13" s="96"/>
      <c r="H13" s="103"/>
      <c r="I13" s="103"/>
      <c r="J13" s="103"/>
      <c r="K13" s="103"/>
      <c r="L13" s="96"/>
      <c r="M13" s="119"/>
      <c r="N13" s="64"/>
      <c r="O13" s="64"/>
      <c r="P13" s="149"/>
      <c r="Q13" s="149"/>
      <c r="BA13" s="141" t="str">
        <f t="shared" si="2"/>
        <v/>
      </c>
    </row>
    <row r="14" spans="1:53" s="90" customFormat="1" ht="12" customHeight="1" x14ac:dyDescent="0.15">
      <c r="A14" s="51"/>
      <c r="B14" s="51"/>
      <c r="C14" s="51"/>
      <c r="D14" s="51"/>
      <c r="E14" s="51"/>
      <c r="F14" s="85"/>
      <c r="G14" s="86"/>
      <c r="H14" s="87"/>
      <c r="I14" s="87"/>
      <c r="J14" s="87"/>
      <c r="K14" s="87"/>
      <c r="L14" s="119"/>
      <c r="M14" s="119"/>
      <c r="N14" s="54"/>
      <c r="O14" s="54"/>
      <c r="P14" s="89"/>
      <c r="Q14" s="89"/>
      <c r="R14" s="51"/>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13"/>
      <c r="BA14" s="141" t="str">
        <f t="shared" si="2"/>
        <v/>
      </c>
    </row>
    <row r="15" spans="1:53" ht="12" customHeight="1" x14ac:dyDescent="0.15">
      <c r="A15" s="110" t="s">
        <v>1699</v>
      </c>
      <c r="G15" s="96"/>
      <c r="H15" s="103"/>
      <c r="I15" s="103"/>
      <c r="J15" s="103"/>
      <c r="K15" s="103"/>
      <c r="L15" s="100"/>
      <c r="M15" s="100"/>
      <c r="N15" s="334"/>
      <c r="O15" s="334"/>
      <c r="P15" s="149"/>
      <c r="Q15" s="149"/>
      <c r="BA15" s="141" t="str">
        <f t="shared" si="2"/>
        <v/>
      </c>
    </row>
    <row r="16" spans="1:53" s="140" customFormat="1" ht="12" customHeight="1" x14ac:dyDescent="0.15">
      <c r="A16" s="58" t="s">
        <v>1965</v>
      </c>
      <c r="B16" s="58" t="s">
        <v>713</v>
      </c>
      <c r="C16" s="58" t="s">
        <v>5699</v>
      </c>
      <c r="D16" s="58" t="s">
        <v>5700</v>
      </c>
      <c r="E16" s="58" t="s">
        <v>5701</v>
      </c>
      <c r="F16" s="137">
        <v>40641</v>
      </c>
      <c r="G16" s="138">
        <v>45000</v>
      </c>
      <c r="H16" s="139">
        <v>8</v>
      </c>
      <c r="I16" s="139">
        <v>2</v>
      </c>
      <c r="J16" s="139">
        <v>1</v>
      </c>
      <c r="K16" s="139">
        <v>1</v>
      </c>
      <c r="L16" s="138">
        <v>127363</v>
      </c>
      <c r="M16" s="138">
        <f>IF(I16="","",L16/H16)</f>
        <v>15920.375</v>
      </c>
      <c r="N16" s="336">
        <f>I16/H16</f>
        <v>0.25</v>
      </c>
      <c r="O16" s="336">
        <f>SUM(I16:K16)/H16</f>
        <v>0.5</v>
      </c>
      <c r="P16" s="56" t="s">
        <v>5703</v>
      </c>
      <c r="Q16" s="56" t="s">
        <v>1313</v>
      </c>
      <c r="R16" s="139" t="s">
        <v>5702</v>
      </c>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BA16" s="141"/>
    </row>
    <row r="17" spans="1:53" s="90" customFormat="1" ht="12" customHeight="1" x14ac:dyDescent="0.15">
      <c r="A17" s="51"/>
      <c r="B17" s="51"/>
      <c r="C17" s="51"/>
      <c r="D17" s="51"/>
      <c r="E17" s="51"/>
      <c r="F17" s="85"/>
      <c r="G17" s="86"/>
      <c r="H17" s="87"/>
      <c r="I17" s="87"/>
      <c r="J17" s="87"/>
      <c r="K17" s="87"/>
      <c r="L17" s="119"/>
      <c r="M17" s="119"/>
      <c r="N17" s="54"/>
      <c r="O17" s="54"/>
      <c r="P17" s="89"/>
      <c r="Q17" s="89"/>
      <c r="R17" s="51"/>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13"/>
      <c r="BA17" s="141" t="str">
        <f t="shared" si="2"/>
        <v/>
      </c>
    </row>
    <row r="18" spans="1:53" ht="12" customHeight="1" x14ac:dyDescent="0.15">
      <c r="A18" s="110" t="s">
        <v>1698</v>
      </c>
      <c r="G18" s="96"/>
      <c r="H18" s="103"/>
      <c r="I18" s="103"/>
      <c r="J18" s="103"/>
      <c r="K18" s="103"/>
      <c r="L18" s="100"/>
      <c r="M18" s="100"/>
      <c r="N18" s="334"/>
      <c r="O18" s="334"/>
      <c r="P18" s="149"/>
      <c r="Q18" s="149"/>
      <c r="BA18" s="141" t="str">
        <f t="shared" si="2"/>
        <v/>
      </c>
    </row>
    <row r="19" spans="1:53" s="140" customFormat="1" ht="12" customHeight="1" x14ac:dyDescent="0.15">
      <c r="A19" s="58" t="s">
        <v>1709</v>
      </c>
      <c r="B19" s="58" t="s">
        <v>3663</v>
      </c>
      <c r="C19" s="58" t="s">
        <v>105</v>
      </c>
      <c r="D19" s="58" t="s">
        <v>957</v>
      </c>
      <c r="E19" s="58" t="s">
        <v>38</v>
      </c>
      <c r="F19" s="137">
        <v>40599</v>
      </c>
      <c r="G19" s="138">
        <v>12344</v>
      </c>
      <c r="H19" s="139">
        <v>17</v>
      </c>
      <c r="I19" s="139">
        <v>1</v>
      </c>
      <c r="J19" s="139">
        <v>0</v>
      </c>
      <c r="K19" s="139">
        <v>1</v>
      </c>
      <c r="L19" s="138">
        <f>380+70+70+190+188+849+5137+192+0+73+93+91+729+0</f>
        <v>8062</v>
      </c>
      <c r="M19" s="138">
        <f t="shared" ref="M19:M20" si="3">IF(I19="","",L19/H19)</f>
        <v>474.23529411764707</v>
      </c>
      <c r="N19" s="336">
        <f>I19/H19</f>
        <v>5.8823529411764705E-2</v>
      </c>
      <c r="O19" s="336">
        <f>SUM(I19:K19)/H19</f>
        <v>0.11764705882352941</v>
      </c>
      <c r="P19" s="56" t="s">
        <v>3482</v>
      </c>
      <c r="Q19" s="56" t="s">
        <v>2330</v>
      </c>
      <c r="R19" s="139" t="s">
        <v>3238</v>
      </c>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BA19" s="141">
        <f>IF(I19="","",IF(I19=0,0,1))</f>
        <v>1</v>
      </c>
    </row>
    <row r="20" spans="1:53" s="90" customFormat="1" ht="12" customHeight="1" x14ac:dyDescent="0.15">
      <c r="A20" s="142" t="s">
        <v>1964</v>
      </c>
      <c r="B20" s="142" t="s">
        <v>130</v>
      </c>
      <c r="C20" s="142" t="s">
        <v>1723</v>
      </c>
      <c r="D20" s="142" t="s">
        <v>1663</v>
      </c>
      <c r="E20" s="142" t="s">
        <v>1724</v>
      </c>
      <c r="F20" s="143">
        <v>40648</v>
      </c>
      <c r="G20" s="144"/>
      <c r="H20" s="145">
        <v>3</v>
      </c>
      <c r="I20" s="145">
        <v>0</v>
      </c>
      <c r="J20" s="145">
        <v>1</v>
      </c>
      <c r="K20" s="145">
        <v>0</v>
      </c>
      <c r="L20" s="146">
        <f>1476+135+8200</f>
        <v>9811</v>
      </c>
      <c r="M20" s="146">
        <f t="shared" si="3"/>
        <v>3270.3333333333335</v>
      </c>
      <c r="N20" s="337">
        <f>IF(H20="","--",I20/H20)</f>
        <v>0</v>
      </c>
      <c r="O20" s="337">
        <f>IF(H20="","--",SUM(I20:K20)/H20)</f>
        <v>0.33333333333333331</v>
      </c>
      <c r="P20" s="147" t="s">
        <v>3630</v>
      </c>
      <c r="Q20" s="147" t="s">
        <v>344</v>
      </c>
      <c r="R20" s="142" t="s">
        <v>1090</v>
      </c>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BA20" s="141">
        <f>IF(I20="","",IF(I20=0,0,1))</f>
        <v>0</v>
      </c>
    </row>
    <row r="21" spans="1:53" s="90" customFormat="1" ht="12" customHeight="1" x14ac:dyDescent="0.15">
      <c r="A21" s="142" t="s">
        <v>1942</v>
      </c>
      <c r="B21" s="142" t="s">
        <v>4581</v>
      </c>
      <c r="C21" s="142" t="s">
        <v>1568</v>
      </c>
      <c r="D21" s="142" t="s">
        <v>1564</v>
      </c>
      <c r="E21" s="142" t="s">
        <v>1556</v>
      </c>
      <c r="F21" s="143">
        <v>40616</v>
      </c>
      <c r="G21" s="144"/>
      <c r="H21" s="145">
        <v>1</v>
      </c>
      <c r="I21" s="145">
        <v>0</v>
      </c>
      <c r="J21" s="145">
        <v>0</v>
      </c>
      <c r="K21" s="145">
        <v>0</v>
      </c>
      <c r="L21" s="146">
        <v>135</v>
      </c>
      <c r="M21" s="146">
        <f>IF(I21="","",L21/H21)</f>
        <v>135</v>
      </c>
      <c r="N21" s="331">
        <f>IF(H21="","--",I21/H21)</f>
        <v>0</v>
      </c>
      <c r="O21" s="331">
        <f>IF(H21="","--",SUM(I21:K21)/H21)</f>
        <v>0</v>
      </c>
      <c r="P21" s="147" t="s">
        <v>4706</v>
      </c>
      <c r="Q21" s="147" t="s">
        <v>1309</v>
      </c>
      <c r="R21" s="142" t="s">
        <v>3341</v>
      </c>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BA21" s="441">
        <f>IF(I21="","",IF(I21=0,0,1))</f>
        <v>0</v>
      </c>
    </row>
    <row r="22" spans="1:53" s="90" customFormat="1" ht="12" customHeight="1" x14ac:dyDescent="0.15">
      <c r="A22" s="51"/>
      <c r="B22" s="51"/>
      <c r="C22" s="51"/>
      <c r="D22" s="51"/>
      <c r="E22" s="51"/>
      <c r="F22" s="85"/>
      <c r="G22" s="86"/>
      <c r="H22" s="87"/>
      <c r="I22" s="87"/>
      <c r="J22" s="87"/>
      <c r="K22" s="87"/>
      <c r="L22" s="119"/>
      <c r="M22" s="119"/>
      <c r="N22" s="54"/>
      <c r="O22" s="54"/>
      <c r="P22" s="89"/>
      <c r="Q22" s="89"/>
      <c r="R22" s="51"/>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13"/>
      <c r="BA22" s="141" t="str">
        <f t="shared" si="2"/>
        <v/>
      </c>
    </row>
    <row r="23" spans="1:53" ht="12" customHeight="1" x14ac:dyDescent="0.15">
      <c r="A23" s="110" t="s">
        <v>1696</v>
      </c>
      <c r="G23" s="96"/>
      <c r="H23" s="103"/>
      <c r="I23" s="103"/>
      <c r="J23" s="103"/>
      <c r="K23" s="103"/>
      <c r="L23" s="100"/>
      <c r="M23" s="100"/>
      <c r="N23" s="100"/>
      <c r="O23" s="100"/>
      <c r="P23" s="149"/>
      <c r="Q23" s="149"/>
      <c r="BA23" s="141" t="str">
        <f t="shared" si="2"/>
        <v/>
      </c>
    </row>
    <row r="24" spans="1:53" s="140" customFormat="1" ht="12" customHeight="1" x14ac:dyDescent="0.15">
      <c r="A24" s="58" t="s">
        <v>1951</v>
      </c>
      <c r="B24" s="58" t="s">
        <v>1920</v>
      </c>
      <c r="C24" s="58" t="s">
        <v>846</v>
      </c>
      <c r="D24" s="58" t="s">
        <v>927</v>
      </c>
      <c r="E24" s="58" t="s">
        <v>1335</v>
      </c>
      <c r="F24" s="137">
        <v>40588</v>
      </c>
      <c r="G24" s="138">
        <v>8000</v>
      </c>
      <c r="H24" s="139">
        <v>11</v>
      </c>
      <c r="I24" s="139">
        <v>1</v>
      </c>
      <c r="J24" s="139">
        <v>0</v>
      </c>
      <c r="K24" s="139">
        <v>2</v>
      </c>
      <c r="L24" s="138">
        <f>620+1430+627+0+744+1430+7800+0+0</f>
        <v>12651</v>
      </c>
      <c r="M24" s="138">
        <f>IF(I24="","",L24/H24)</f>
        <v>1150.090909090909</v>
      </c>
      <c r="N24" s="336">
        <f>IF(H24="","--",I24/H24)</f>
        <v>9.0909090909090912E-2</v>
      </c>
      <c r="O24" s="336">
        <f>IF(H24="","--",SUM(I24:K24)/H24)</f>
        <v>0.27272727272727271</v>
      </c>
      <c r="P24" s="56" t="s">
        <v>2473</v>
      </c>
      <c r="Q24" s="56" t="s">
        <v>1311</v>
      </c>
      <c r="R24" s="139" t="s">
        <v>1891</v>
      </c>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BA24" s="141">
        <f t="shared" ref="BA24:BA30" si="4">IF(I24="","",IF(I24=0,0,1))</f>
        <v>1</v>
      </c>
    </row>
    <row r="25" spans="1:53" s="140" customFormat="1" ht="12" customHeight="1" x14ac:dyDescent="0.15">
      <c r="A25" s="58" t="s">
        <v>2018</v>
      </c>
      <c r="B25" s="58" t="s">
        <v>3664</v>
      </c>
      <c r="C25" s="58" t="s">
        <v>1498</v>
      </c>
      <c r="D25" s="58" t="s">
        <v>1499</v>
      </c>
      <c r="E25" s="58" t="s">
        <v>15</v>
      </c>
      <c r="F25" s="137">
        <v>40665</v>
      </c>
      <c r="G25" s="138">
        <v>8000</v>
      </c>
      <c r="H25" s="139">
        <v>16</v>
      </c>
      <c r="I25" s="139">
        <v>2</v>
      </c>
      <c r="J25" s="139">
        <v>0</v>
      </c>
      <c r="K25" s="139">
        <v>3</v>
      </c>
      <c r="L25" s="138">
        <f>25171+0</f>
        <v>25171</v>
      </c>
      <c r="M25" s="138">
        <f>IF(I25="","",L25/H25)</f>
        <v>1573.1875</v>
      </c>
      <c r="N25" s="336">
        <f>I25/H25</f>
        <v>0.125</v>
      </c>
      <c r="O25" s="336">
        <f>SUM(I25:K25)/H25</f>
        <v>0.3125</v>
      </c>
      <c r="P25" s="56" t="s">
        <v>3207</v>
      </c>
      <c r="Q25" s="56" t="s">
        <v>1270</v>
      </c>
      <c r="R25" s="139" t="s">
        <v>1993</v>
      </c>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BA25" s="141">
        <f t="shared" si="4"/>
        <v>1</v>
      </c>
    </row>
    <row r="26" spans="1:53" s="90" customFormat="1" ht="12" customHeight="1" x14ac:dyDescent="0.15">
      <c r="A26" s="142" t="s">
        <v>2032</v>
      </c>
      <c r="B26" s="142" t="s">
        <v>2414</v>
      </c>
      <c r="C26" s="142" t="s">
        <v>401</v>
      </c>
      <c r="D26" s="142" t="s">
        <v>462</v>
      </c>
      <c r="E26" s="142" t="s">
        <v>1335</v>
      </c>
      <c r="F26" s="143">
        <v>40588</v>
      </c>
      <c r="G26" s="144"/>
      <c r="H26" s="145">
        <v>5</v>
      </c>
      <c r="I26" s="145">
        <v>0</v>
      </c>
      <c r="J26" s="145">
        <v>1</v>
      </c>
      <c r="K26" s="145">
        <v>1</v>
      </c>
      <c r="L26" s="146">
        <f>500+900+5800+2970+570</f>
        <v>10740</v>
      </c>
      <c r="M26" s="146">
        <f>IF(I26="","",L26/H26)</f>
        <v>2148</v>
      </c>
      <c r="N26" s="337">
        <f>I26/H26</f>
        <v>0</v>
      </c>
      <c r="O26" s="337">
        <f>SUM(I26:K26)/H26</f>
        <v>0.4</v>
      </c>
      <c r="P26" s="147" t="s">
        <v>3444</v>
      </c>
      <c r="Q26" s="147" t="s">
        <v>1311</v>
      </c>
      <c r="R26" s="142" t="s">
        <v>2415</v>
      </c>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BA26" s="141">
        <f t="shared" si="4"/>
        <v>0</v>
      </c>
    </row>
    <row r="27" spans="1:53" s="140" customFormat="1" ht="12" customHeight="1" x14ac:dyDescent="0.15">
      <c r="A27" s="58" t="s">
        <v>2034</v>
      </c>
      <c r="B27" s="58" t="s">
        <v>713</v>
      </c>
      <c r="C27" s="58" t="s">
        <v>1577</v>
      </c>
      <c r="D27" s="58" t="s">
        <v>1735</v>
      </c>
      <c r="E27" s="58" t="s">
        <v>1585</v>
      </c>
      <c r="F27" s="137">
        <v>40678</v>
      </c>
      <c r="G27" s="138">
        <v>25000</v>
      </c>
      <c r="H27" s="139">
        <v>18</v>
      </c>
      <c r="I27" s="139">
        <v>1</v>
      </c>
      <c r="J27" s="139">
        <v>2</v>
      </c>
      <c r="K27" s="139">
        <v>3</v>
      </c>
      <c r="L27" s="138">
        <f>6000+650+328+2600+306+118+197+500+8200+1800+234+3500+1380+3000+4600+1750+7000+27600</f>
        <v>69763</v>
      </c>
      <c r="M27" s="138">
        <f>IF(I27="","",L27/H27)</f>
        <v>3875.7222222222222</v>
      </c>
      <c r="N27" s="336">
        <f>I27/H27</f>
        <v>5.5555555555555552E-2</v>
      </c>
      <c r="O27" s="336">
        <f>IF(H27="","--",SUM(I27:K27)/H27)</f>
        <v>0.33333333333333331</v>
      </c>
      <c r="P27" s="56" t="s">
        <v>3458</v>
      </c>
      <c r="Q27" s="56" t="s">
        <v>344</v>
      </c>
      <c r="R27" s="139" t="s">
        <v>2017</v>
      </c>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BA27" s="141">
        <f t="shared" si="4"/>
        <v>1</v>
      </c>
    </row>
    <row r="28" spans="1:53" s="90" customFormat="1" ht="12" customHeight="1" x14ac:dyDescent="0.15">
      <c r="A28" s="51" t="s">
        <v>46</v>
      </c>
      <c r="B28" s="51" t="s">
        <v>3666</v>
      </c>
      <c r="C28" s="51" t="s">
        <v>1303</v>
      </c>
      <c r="D28" s="51" t="s">
        <v>1290</v>
      </c>
      <c r="E28" s="51" t="s">
        <v>1289</v>
      </c>
      <c r="F28" s="85">
        <v>40642</v>
      </c>
      <c r="G28" s="86"/>
      <c r="H28" s="87"/>
      <c r="I28" s="87"/>
      <c r="J28" s="87"/>
      <c r="K28" s="87"/>
      <c r="L28" s="86" t="s">
        <v>18</v>
      </c>
      <c r="M28" s="119" t="str">
        <f>IF(I28="","",L28/H28)</f>
        <v/>
      </c>
      <c r="N28" s="333" t="str">
        <f>IF(H28="","--",I28/H28)</f>
        <v>--</v>
      </c>
      <c r="O28" s="333" t="str">
        <f>IF(H28="","--",SUM(I28:K28)/H28)</f>
        <v>--</v>
      </c>
      <c r="P28" s="89" t="s">
        <v>3439</v>
      </c>
      <c r="Q28" s="89" t="s">
        <v>1270</v>
      </c>
      <c r="R28" s="51" t="s">
        <v>1992</v>
      </c>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13"/>
      <c r="BA28" s="141" t="str">
        <f t="shared" si="4"/>
        <v/>
      </c>
    </row>
    <row r="29" spans="1:53" s="90" customFormat="1" ht="12" customHeight="1" x14ac:dyDescent="0.15">
      <c r="A29" s="51"/>
      <c r="B29" s="51"/>
      <c r="C29" s="51"/>
      <c r="D29" s="51"/>
      <c r="E29" s="51"/>
      <c r="F29" s="85"/>
      <c r="G29" s="86"/>
      <c r="H29" s="348"/>
      <c r="I29" s="348"/>
      <c r="J29" s="348"/>
      <c r="K29" s="348"/>
      <c r="L29" s="119"/>
      <c r="M29" s="119"/>
      <c r="N29" s="54"/>
      <c r="O29" s="54"/>
      <c r="P29" s="349"/>
      <c r="Q29" s="349"/>
      <c r="R29" s="51"/>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13"/>
      <c r="BA29" s="141" t="str">
        <f t="shared" si="4"/>
        <v/>
      </c>
    </row>
    <row r="30" spans="1:53" ht="12" customHeight="1" x14ac:dyDescent="0.15">
      <c r="A30" s="110" t="s">
        <v>1697</v>
      </c>
      <c r="G30" s="96"/>
      <c r="H30" s="103"/>
      <c r="I30" s="103"/>
      <c r="J30" s="103"/>
      <c r="K30" s="103"/>
      <c r="L30" s="100"/>
      <c r="M30" s="100"/>
      <c r="N30" s="100"/>
      <c r="O30" s="100"/>
      <c r="P30" s="149"/>
      <c r="Q30" s="149"/>
      <c r="BA30" s="141" t="str">
        <f t="shared" si="4"/>
        <v/>
      </c>
    </row>
    <row r="31" spans="1:53" s="90" customFormat="1" ht="12" customHeight="1" x14ac:dyDescent="0.15">
      <c r="A31" s="51" t="s">
        <v>2287</v>
      </c>
      <c r="B31" s="51" t="s">
        <v>4584</v>
      </c>
      <c r="C31" s="51" t="s">
        <v>1490</v>
      </c>
      <c r="D31" s="51" t="s">
        <v>638</v>
      </c>
      <c r="E31" s="51" t="s">
        <v>2312</v>
      </c>
      <c r="F31" s="91">
        <v>40632</v>
      </c>
      <c r="G31" s="92"/>
      <c r="H31" s="93"/>
      <c r="I31" s="93"/>
      <c r="J31" s="93"/>
      <c r="K31" s="93"/>
      <c r="L31" s="86"/>
      <c r="M31" s="86"/>
      <c r="N31" s="333" t="str">
        <f>IF(H31="","--",I31/H31)</f>
        <v>--</v>
      </c>
      <c r="O31" s="333" t="str">
        <f>IF(H31="","--",SUM(I31:K31)/H31)</f>
        <v>--</v>
      </c>
      <c r="P31" s="89" t="s">
        <v>2289</v>
      </c>
      <c r="Q31" s="89" t="s">
        <v>2288</v>
      </c>
      <c r="R31" s="51" t="s">
        <v>2290</v>
      </c>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13"/>
    </row>
    <row r="32" spans="1:53" s="90" customFormat="1" ht="12" customHeight="1" x14ac:dyDescent="0.15">
      <c r="A32" s="142" t="s">
        <v>2035</v>
      </c>
      <c r="B32" s="142" t="s">
        <v>1920</v>
      </c>
      <c r="C32" s="142" t="s">
        <v>1408</v>
      </c>
      <c r="D32" s="142" t="s">
        <v>1027</v>
      </c>
      <c r="E32" s="142" t="s">
        <v>1335</v>
      </c>
      <c r="F32" s="143">
        <v>40620</v>
      </c>
      <c r="G32" s="144"/>
      <c r="H32" s="145">
        <v>1</v>
      </c>
      <c r="I32" s="145">
        <v>0</v>
      </c>
      <c r="J32" s="145">
        <v>0</v>
      </c>
      <c r="K32" s="145">
        <v>0</v>
      </c>
      <c r="L32" s="146">
        <v>250</v>
      </c>
      <c r="M32" s="146">
        <f>IF(I32="","",L32/H32)</f>
        <v>250</v>
      </c>
      <c r="N32" s="337">
        <f>IF(H32="","--",I32/H32)</f>
        <v>0</v>
      </c>
      <c r="O32" s="337">
        <f>IF(H32="","--",SUM(I32:K32)/H32)</f>
        <v>0</v>
      </c>
      <c r="P32" s="147" t="s">
        <v>2359</v>
      </c>
      <c r="Q32" s="147" t="s">
        <v>1311</v>
      </c>
      <c r="R32" s="142" t="s">
        <v>2033</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BA32" s="141">
        <f>IF(I32="","",IF(I32=0,0,1))</f>
        <v>0</v>
      </c>
    </row>
    <row r="33" spans="1:53" s="90" customFormat="1" ht="12" customHeight="1" x14ac:dyDescent="0.15">
      <c r="A33" s="51"/>
      <c r="B33" s="51"/>
      <c r="C33" s="51"/>
      <c r="D33" s="51"/>
      <c r="E33" s="51"/>
      <c r="F33" s="85"/>
      <c r="G33" s="86"/>
      <c r="H33" s="87"/>
      <c r="I33" s="87"/>
      <c r="J33" s="87"/>
      <c r="K33" s="87"/>
      <c r="L33" s="86"/>
      <c r="M33" s="119"/>
      <c r="N33" s="54"/>
      <c r="O33" s="54"/>
      <c r="P33" s="89"/>
      <c r="Q33" s="89"/>
      <c r="R33" s="51"/>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13"/>
      <c r="BA33" s="141" t="str">
        <f t="shared" ref="BA33:BA36" si="5">IF(I33="","",IF(I33=0,0,1))</f>
        <v/>
      </c>
    </row>
    <row r="34" spans="1:53" ht="12" customHeight="1" x14ac:dyDescent="0.15">
      <c r="A34" s="110" t="s">
        <v>1789</v>
      </c>
      <c r="G34" s="96"/>
      <c r="H34" s="103"/>
      <c r="I34" s="103"/>
      <c r="J34" s="103"/>
      <c r="K34" s="103"/>
      <c r="L34" s="100"/>
      <c r="M34" s="119"/>
      <c r="N34" s="64"/>
      <c r="O34" s="64"/>
      <c r="P34" s="149"/>
      <c r="Q34" s="149"/>
      <c r="BA34" s="141" t="str">
        <f t="shared" si="5"/>
        <v/>
      </c>
    </row>
    <row r="35" spans="1:53" s="90" customFormat="1" ht="12" customHeight="1" x14ac:dyDescent="0.15">
      <c r="A35" s="51" t="s">
        <v>1970</v>
      </c>
      <c r="B35" s="51" t="s">
        <v>1935</v>
      </c>
      <c r="C35" s="51" t="s">
        <v>1523</v>
      </c>
      <c r="D35" s="51" t="s">
        <v>1527</v>
      </c>
      <c r="E35" s="51" t="s">
        <v>1327</v>
      </c>
      <c r="F35" s="85">
        <v>40552</v>
      </c>
      <c r="G35" s="86"/>
      <c r="H35" s="87"/>
      <c r="I35" s="87"/>
      <c r="J35" s="87"/>
      <c r="K35" s="87"/>
      <c r="L35" s="86"/>
      <c r="M35" s="119" t="str">
        <f>IF(I35="","",L35/H35)</f>
        <v/>
      </c>
      <c r="N35" s="333" t="str">
        <f>IF(H35="","--",I35/H35)</f>
        <v>--</v>
      </c>
      <c r="O35" s="333" t="str">
        <f>IF(H35="","--",SUM(I35:K35)/H35)</f>
        <v>--</v>
      </c>
      <c r="P35" s="89"/>
      <c r="Q35" s="89" t="s">
        <v>1321</v>
      </c>
      <c r="R35" s="51" t="s">
        <v>1971</v>
      </c>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13"/>
      <c r="BA35" s="141" t="str">
        <f t="shared" si="5"/>
        <v/>
      </c>
    </row>
    <row r="36" spans="1:53" s="90" customFormat="1" ht="12" customHeight="1" x14ac:dyDescent="0.15">
      <c r="A36" s="51" t="s">
        <v>1821</v>
      </c>
      <c r="B36" s="51" t="s">
        <v>1513</v>
      </c>
      <c r="C36" s="51" t="s">
        <v>1579</v>
      </c>
      <c r="D36" s="51" t="s">
        <v>1729</v>
      </c>
      <c r="E36" s="51" t="s">
        <v>1575</v>
      </c>
      <c r="F36" s="85">
        <v>40601</v>
      </c>
      <c r="G36" s="86"/>
      <c r="H36" s="87"/>
      <c r="I36" s="87"/>
      <c r="J36" s="87"/>
      <c r="K36" s="87"/>
      <c r="L36" s="86"/>
      <c r="M36" s="119" t="str">
        <f>IF(I36="","",L36/H36)</f>
        <v/>
      </c>
      <c r="N36" s="333" t="str">
        <f>IF(H36="","--",I36/H36)</f>
        <v>--</v>
      </c>
      <c r="O36" s="333" t="str">
        <f>IF(H36="","--",SUM(I36:K36)/H36)</f>
        <v>--</v>
      </c>
      <c r="P36" s="89"/>
      <c r="Q36" s="89"/>
      <c r="R36" s="51" t="s">
        <v>1</v>
      </c>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13"/>
      <c r="BA36" s="141" t="str">
        <f t="shared" si="5"/>
        <v/>
      </c>
    </row>
    <row r="37" spans="1:53" s="90" customFormat="1" ht="12" customHeight="1" x14ac:dyDescent="0.15">
      <c r="A37" s="51" t="s">
        <v>3794</v>
      </c>
      <c r="B37" s="51" t="s">
        <v>2043</v>
      </c>
      <c r="C37" s="51" t="s">
        <v>103</v>
      </c>
      <c r="D37" s="51" t="s">
        <v>1411</v>
      </c>
      <c r="E37" s="51" t="s">
        <v>2312</v>
      </c>
      <c r="F37" s="91">
        <v>40728</v>
      </c>
      <c r="G37" s="92"/>
      <c r="H37" s="93"/>
      <c r="I37" s="93"/>
      <c r="J37" s="93"/>
      <c r="K37" s="93"/>
      <c r="L37" s="86"/>
      <c r="M37" s="86"/>
      <c r="N37" s="333" t="str">
        <f>IF(H37="","--",I37/H37)</f>
        <v>--</v>
      </c>
      <c r="O37" s="333" t="str">
        <f>IF(H37="","--",SUM(I37:K37)/H37)</f>
        <v>--</v>
      </c>
      <c r="P37" s="88"/>
      <c r="Q37" s="89" t="s">
        <v>1624</v>
      </c>
      <c r="R37" s="51" t="s">
        <v>1496</v>
      </c>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13"/>
    </row>
    <row r="38" spans="1:53" ht="12" customHeight="1" x14ac:dyDescent="0.15">
      <c r="G38" s="96"/>
      <c r="H38" s="103"/>
      <c r="I38" s="103"/>
      <c r="J38" s="103"/>
      <c r="K38" s="103"/>
      <c r="L38" s="100"/>
      <c r="M38" s="100"/>
      <c r="N38" s="334"/>
      <c r="O38" s="334"/>
      <c r="P38" s="149"/>
      <c r="Q38" s="149"/>
      <c r="BA38" s="141" t="str">
        <f t="shared" ref="BA38:BA51" si="6">IF(I38="","",IF(I38=0,0,1))</f>
        <v/>
      </c>
    </row>
    <row r="39" spans="1:53" ht="12" customHeight="1" x14ac:dyDescent="0.15">
      <c r="A39" s="110" t="s">
        <v>1850</v>
      </c>
      <c r="G39" s="96"/>
      <c r="H39" s="103"/>
      <c r="I39" s="103"/>
      <c r="J39" s="103"/>
      <c r="K39" s="103"/>
      <c r="L39" s="100"/>
      <c r="M39" s="100"/>
      <c r="N39" s="334"/>
      <c r="O39" s="334"/>
      <c r="P39" s="149"/>
      <c r="Q39" s="149"/>
      <c r="BA39" s="141" t="str">
        <f t="shared" si="6"/>
        <v/>
      </c>
    </row>
    <row r="40" spans="1:53" s="140" customFormat="1" ht="12" customHeight="1" x14ac:dyDescent="0.15">
      <c r="A40" s="58" t="s">
        <v>1940</v>
      </c>
      <c r="B40" s="58" t="s">
        <v>1920</v>
      </c>
      <c r="C40" s="58" t="s">
        <v>949</v>
      </c>
      <c r="D40" s="58" t="s">
        <v>459</v>
      </c>
      <c r="E40" s="58" t="s">
        <v>1335</v>
      </c>
      <c r="F40" s="137">
        <v>40676</v>
      </c>
      <c r="G40" s="138">
        <v>130000</v>
      </c>
      <c r="H40" s="139">
        <v>6</v>
      </c>
      <c r="I40" s="139">
        <v>1</v>
      </c>
      <c r="J40" s="139">
        <v>1</v>
      </c>
      <c r="K40" s="139">
        <v>0</v>
      </c>
      <c r="L40" s="138">
        <f>500+2400+17100+200+500+3780</f>
        <v>24480</v>
      </c>
      <c r="M40" s="138">
        <f t="shared" ref="M40:M50" si="7">IF(I40="","",L40/H40)</f>
        <v>4080</v>
      </c>
      <c r="N40" s="336">
        <f t="shared" ref="N40:N50" si="8">IF(H40="","--",I40/H40)</f>
        <v>0.16666666666666666</v>
      </c>
      <c r="O40" s="336">
        <f t="shared" ref="O40:O50" si="9">IF(H40="","--",SUM(I40:K40)/H40)</f>
        <v>0.33333333333333331</v>
      </c>
      <c r="P40" s="56" t="s">
        <v>3172</v>
      </c>
      <c r="Q40" s="56"/>
      <c r="R40" s="139" t="s">
        <v>4590</v>
      </c>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BA40" s="141">
        <f t="shared" si="6"/>
        <v>1</v>
      </c>
    </row>
    <row r="41" spans="1:53" s="140" customFormat="1" ht="12" customHeight="1" x14ac:dyDescent="0.15">
      <c r="A41" s="58" t="s">
        <v>1978</v>
      </c>
      <c r="B41" s="58" t="s">
        <v>969</v>
      </c>
      <c r="C41" s="58" t="s">
        <v>1581</v>
      </c>
      <c r="D41" s="58" t="s">
        <v>1587</v>
      </c>
      <c r="E41" s="58" t="s">
        <v>1726</v>
      </c>
      <c r="F41" s="137">
        <v>40615</v>
      </c>
      <c r="G41" s="138">
        <v>6000</v>
      </c>
      <c r="H41" s="139">
        <v>24</v>
      </c>
      <c r="I41" s="139">
        <v>1</v>
      </c>
      <c r="J41" s="139">
        <v>0</v>
      </c>
      <c r="K41" s="139">
        <v>1</v>
      </c>
      <c r="L41" s="138">
        <f>1903+6776+0+0+1961+2838+1799+24897+0+0+2602+0+0+0+0+0</f>
        <v>42776</v>
      </c>
      <c r="M41" s="138">
        <f>IF(I41="","",L41/H41)</f>
        <v>1782.3333333333333</v>
      </c>
      <c r="N41" s="336">
        <f>I41/H41</f>
        <v>4.1666666666666664E-2</v>
      </c>
      <c r="O41" s="336">
        <f>SUM(I41:K41)/H41</f>
        <v>8.3333333333333329E-2</v>
      </c>
      <c r="P41" s="56" t="s">
        <v>4128</v>
      </c>
      <c r="Q41" s="56" t="s">
        <v>1561</v>
      </c>
      <c r="R41" s="139" t="s">
        <v>1628</v>
      </c>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BA41" s="141">
        <f>IF(I41="","",IF(I41=0,0,1))</f>
        <v>1</v>
      </c>
    </row>
    <row r="42" spans="1:53" s="140" customFormat="1" ht="12" customHeight="1" x14ac:dyDescent="0.15">
      <c r="A42" s="58" t="s">
        <v>2019</v>
      </c>
      <c r="B42" s="58" t="s">
        <v>111</v>
      </c>
      <c r="C42" s="58" t="s">
        <v>1567</v>
      </c>
      <c r="D42" s="58" t="s">
        <v>1565</v>
      </c>
      <c r="E42" s="58" t="s">
        <v>1555</v>
      </c>
      <c r="F42" s="137">
        <v>40647</v>
      </c>
      <c r="G42" s="138">
        <v>15000</v>
      </c>
      <c r="H42" s="139">
        <v>16</v>
      </c>
      <c r="I42" s="139">
        <v>1</v>
      </c>
      <c r="J42" s="139">
        <v>2</v>
      </c>
      <c r="K42" s="139">
        <v>1</v>
      </c>
      <c r="L42" s="138">
        <f>12845+2457+3697+2349+0+26840+13108+21100+0+0+0+0+0</f>
        <v>82396</v>
      </c>
      <c r="M42" s="138">
        <f>IF(I42="","",L42/H42)</f>
        <v>5149.75</v>
      </c>
      <c r="N42" s="336">
        <f>I42/H42</f>
        <v>6.25E-2</v>
      </c>
      <c r="O42" s="336">
        <f>SUM(I42:K42)/H42</f>
        <v>0.25</v>
      </c>
      <c r="P42" s="56" t="s">
        <v>3172</v>
      </c>
      <c r="Q42" s="56" t="s">
        <v>1561</v>
      </c>
      <c r="R42" s="139" t="s">
        <v>3410</v>
      </c>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BA42" s="141">
        <f>IF(I42="","",IF(I42=0,0,1))</f>
        <v>1</v>
      </c>
    </row>
    <row r="43" spans="1:53" s="140" customFormat="1" ht="12" customHeight="1" x14ac:dyDescent="0.15">
      <c r="A43" s="58" t="s">
        <v>1941</v>
      </c>
      <c r="B43" s="58" t="s">
        <v>111</v>
      </c>
      <c r="C43" s="58" t="s">
        <v>1725</v>
      </c>
      <c r="D43" s="58" t="s">
        <v>1578</v>
      </c>
      <c r="E43" s="58" t="s">
        <v>1559</v>
      </c>
      <c r="F43" s="137">
        <v>40630</v>
      </c>
      <c r="G43" s="138"/>
      <c r="H43" s="139">
        <v>8</v>
      </c>
      <c r="I43" s="139">
        <v>2</v>
      </c>
      <c r="J43" s="139">
        <v>3</v>
      </c>
      <c r="K43" s="139">
        <v>0</v>
      </c>
      <c r="L43" s="138">
        <f>8820+400+34800+3250+12000+31200+10800</f>
        <v>101270</v>
      </c>
      <c r="M43" s="138">
        <f>IF(I43="","",L43/H43)</f>
        <v>12658.75</v>
      </c>
      <c r="N43" s="336">
        <f>I43/H43</f>
        <v>0.25</v>
      </c>
      <c r="O43" s="336">
        <f>SUM(I43:K43)/H43</f>
        <v>0.625</v>
      </c>
      <c r="P43" s="56" t="s">
        <v>3172</v>
      </c>
      <c r="Q43" s="56"/>
      <c r="R43" s="139" t="s">
        <v>5372</v>
      </c>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BA43" s="141">
        <f>IF(I43="","",IF(I43=0,0,1))</f>
        <v>1</v>
      </c>
    </row>
    <row r="44" spans="1:53" s="90" customFormat="1" ht="12" customHeight="1" x14ac:dyDescent="0.15">
      <c r="A44" s="142" t="s">
        <v>1764</v>
      </c>
      <c r="B44" s="142" t="s">
        <v>111</v>
      </c>
      <c r="C44" s="142" t="s">
        <v>1733</v>
      </c>
      <c r="D44" s="142" t="s">
        <v>1584</v>
      </c>
      <c r="E44" s="142" t="s">
        <v>1734</v>
      </c>
      <c r="F44" s="143">
        <v>40655</v>
      </c>
      <c r="G44" s="144"/>
      <c r="H44" s="145">
        <v>2</v>
      </c>
      <c r="I44" s="145">
        <v>0</v>
      </c>
      <c r="J44" s="145">
        <v>1</v>
      </c>
      <c r="K44" s="145">
        <v>0</v>
      </c>
      <c r="L44" s="146">
        <f>7400+2220</f>
        <v>9620</v>
      </c>
      <c r="M44" s="146">
        <f>IF(I44="","",L44/H44)</f>
        <v>4810</v>
      </c>
      <c r="N44" s="331">
        <f>IF(H44="","--",I44/H44)</f>
        <v>0</v>
      </c>
      <c r="O44" s="337">
        <f>IF(H44="","--",SUM(I44:K44)/H44)</f>
        <v>0.5</v>
      </c>
      <c r="P44" s="147" t="s">
        <v>3172</v>
      </c>
      <c r="Q44" s="147"/>
      <c r="R44" s="142" t="s">
        <v>4591</v>
      </c>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BA44" s="441">
        <f>IF(I44="","",IF(I44=0,0,1))</f>
        <v>0</v>
      </c>
    </row>
    <row r="45" spans="1:53" s="90" customFormat="1" ht="12" customHeight="1" x14ac:dyDescent="0.15">
      <c r="A45" s="51" t="s">
        <v>1990</v>
      </c>
      <c r="B45" s="51" t="s">
        <v>481</v>
      </c>
      <c r="C45" s="51" t="s">
        <v>1576</v>
      </c>
      <c r="D45" s="51" t="s">
        <v>1727</v>
      </c>
      <c r="E45" s="51" t="s">
        <v>1572</v>
      </c>
      <c r="F45" s="85">
        <v>40675</v>
      </c>
      <c r="G45" s="86">
        <v>3000</v>
      </c>
      <c r="H45" s="87"/>
      <c r="I45" s="87"/>
      <c r="J45" s="87"/>
      <c r="K45" s="87"/>
      <c r="L45" s="86" t="s">
        <v>391</v>
      </c>
      <c r="M45" s="119" t="str">
        <f t="shared" si="7"/>
        <v/>
      </c>
      <c r="N45" s="333" t="str">
        <f t="shared" si="8"/>
        <v>--</v>
      </c>
      <c r="O45" s="333" t="str">
        <f t="shared" si="9"/>
        <v>--</v>
      </c>
      <c r="P45" s="89" t="s">
        <v>2075</v>
      </c>
      <c r="Q45" s="89" t="s">
        <v>1561</v>
      </c>
      <c r="R45" s="51" t="s">
        <v>2076</v>
      </c>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13"/>
      <c r="BA45" s="141" t="str">
        <f t="shared" si="6"/>
        <v/>
      </c>
    </row>
    <row r="46" spans="1:53" s="90" customFormat="1" ht="12" customHeight="1" x14ac:dyDescent="0.15">
      <c r="A46" s="51" t="s">
        <v>1956</v>
      </c>
      <c r="B46" s="51" t="s">
        <v>1935</v>
      </c>
      <c r="C46" s="51" t="s">
        <v>1721</v>
      </c>
      <c r="D46" s="51" t="s">
        <v>1665</v>
      </c>
      <c r="E46" s="51" t="s">
        <v>1722</v>
      </c>
      <c r="F46" s="85">
        <v>40687</v>
      </c>
      <c r="G46" s="86"/>
      <c r="H46" s="87"/>
      <c r="I46" s="87"/>
      <c r="J46" s="87"/>
      <c r="K46" s="87"/>
      <c r="L46" s="86" t="s">
        <v>391</v>
      </c>
      <c r="M46" s="119" t="str">
        <f>IF(I46="","",L46/H46)</f>
        <v/>
      </c>
      <c r="N46" s="333" t="str">
        <f>IF(H46="","--",I46/H46)</f>
        <v>--</v>
      </c>
      <c r="O46" s="333" t="str">
        <f>IF(H46="","--",SUM(I46:K46)/H46)</f>
        <v>--</v>
      </c>
      <c r="P46" s="89" t="s">
        <v>3172</v>
      </c>
      <c r="Q46" s="89" t="s">
        <v>1893</v>
      </c>
      <c r="R46" s="51" t="s">
        <v>3421</v>
      </c>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13"/>
      <c r="BA46" s="141" t="str">
        <f>IF(I46="","",IF(I46=0,0,1))</f>
        <v/>
      </c>
    </row>
    <row r="47" spans="1:53" s="90" customFormat="1" ht="12" customHeight="1" x14ac:dyDescent="0.15">
      <c r="A47" s="51" t="s">
        <v>1833</v>
      </c>
      <c r="B47" s="51" t="s">
        <v>111</v>
      </c>
      <c r="C47" s="51" t="s">
        <v>1728</v>
      </c>
      <c r="D47" s="51" t="s">
        <v>1578</v>
      </c>
      <c r="E47" s="51" t="s">
        <v>1574</v>
      </c>
      <c r="F47" s="85">
        <v>40665</v>
      </c>
      <c r="G47" s="86"/>
      <c r="H47" s="87"/>
      <c r="I47" s="87"/>
      <c r="J47" s="87"/>
      <c r="K47" s="87"/>
      <c r="L47" s="86" t="s">
        <v>391</v>
      </c>
      <c r="M47" s="119" t="str">
        <f>IF(I47="","",L47/H47)</f>
        <v/>
      </c>
      <c r="N47" s="333" t="str">
        <f>IF(H47="","--",I47/H47)</f>
        <v>--</v>
      </c>
      <c r="O47" s="333" t="str">
        <f>IF(H47="","--",SUM(I47:K47)/H47)</f>
        <v>--</v>
      </c>
      <c r="P47" s="89" t="s">
        <v>2282</v>
      </c>
      <c r="Q47" s="89"/>
      <c r="R47" s="51" t="s">
        <v>5287</v>
      </c>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13"/>
      <c r="BA47" s="141" t="str">
        <f>IF(I47="","",IF(I47=0,0,1))</f>
        <v/>
      </c>
    </row>
    <row r="48" spans="1:53" s="90" customFormat="1" ht="12" customHeight="1" x14ac:dyDescent="0.15">
      <c r="A48" s="51" t="s">
        <v>7</v>
      </c>
      <c r="B48" s="51" t="s">
        <v>3665</v>
      </c>
      <c r="C48" s="51" t="s">
        <v>1569</v>
      </c>
      <c r="D48" s="51" t="s">
        <v>1563</v>
      </c>
      <c r="E48" s="51" t="s">
        <v>1571</v>
      </c>
      <c r="F48" s="85">
        <v>40628</v>
      </c>
      <c r="G48" s="86"/>
      <c r="H48" s="87"/>
      <c r="I48" s="87"/>
      <c r="J48" s="87"/>
      <c r="K48" s="87"/>
      <c r="L48" s="86" t="s">
        <v>391</v>
      </c>
      <c r="M48" s="119" t="str">
        <f t="shared" si="7"/>
        <v/>
      </c>
      <c r="N48" s="333" t="str">
        <f t="shared" si="8"/>
        <v>--</v>
      </c>
      <c r="O48" s="333" t="str">
        <f t="shared" si="9"/>
        <v>--</v>
      </c>
      <c r="P48" s="89" t="s">
        <v>2282</v>
      </c>
      <c r="Q48" s="89"/>
      <c r="R48" s="51" t="s">
        <v>2409</v>
      </c>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13"/>
      <c r="BA48" s="141" t="str">
        <f t="shared" si="6"/>
        <v/>
      </c>
    </row>
    <row r="49" spans="1:53" s="90" customFormat="1" ht="12" customHeight="1" x14ac:dyDescent="0.15">
      <c r="A49" s="51" t="s">
        <v>1551</v>
      </c>
      <c r="B49" s="51" t="s">
        <v>1921</v>
      </c>
      <c r="C49" s="51" t="s">
        <v>1852</v>
      </c>
      <c r="D49" s="51" t="s">
        <v>1853</v>
      </c>
      <c r="E49" s="51" t="s">
        <v>1882</v>
      </c>
      <c r="F49" s="85">
        <v>40656</v>
      </c>
      <c r="G49" s="86"/>
      <c r="H49" s="87"/>
      <c r="I49" s="87"/>
      <c r="J49" s="87"/>
      <c r="K49" s="87"/>
      <c r="L49" s="86" t="s">
        <v>391</v>
      </c>
      <c r="M49" s="119" t="str">
        <f t="shared" si="7"/>
        <v/>
      </c>
      <c r="N49" s="333" t="str">
        <f t="shared" si="8"/>
        <v>--</v>
      </c>
      <c r="O49" s="333" t="str">
        <f t="shared" si="9"/>
        <v>--</v>
      </c>
      <c r="P49" s="89" t="s">
        <v>3342</v>
      </c>
      <c r="Q49" s="89"/>
      <c r="R49" s="51" t="s">
        <v>3343</v>
      </c>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13"/>
      <c r="BA49" s="141" t="str">
        <f t="shared" si="6"/>
        <v/>
      </c>
    </row>
    <row r="50" spans="1:53" s="90" customFormat="1" ht="12" customHeight="1" x14ac:dyDescent="0.15">
      <c r="A50" s="51" t="s">
        <v>1551</v>
      </c>
      <c r="B50" s="51" t="s">
        <v>111</v>
      </c>
      <c r="C50" s="51" t="s">
        <v>1730</v>
      </c>
      <c r="D50" s="51" t="s">
        <v>1731</v>
      </c>
      <c r="E50" s="51" t="s">
        <v>1732</v>
      </c>
      <c r="F50" s="85">
        <v>40561</v>
      </c>
      <c r="G50" s="86"/>
      <c r="H50" s="87"/>
      <c r="I50" s="87"/>
      <c r="J50" s="87"/>
      <c r="K50" s="87"/>
      <c r="L50" s="86" t="s">
        <v>391</v>
      </c>
      <c r="M50" s="119" t="str">
        <f t="shared" si="7"/>
        <v/>
      </c>
      <c r="N50" s="333" t="str">
        <f t="shared" si="8"/>
        <v>--</v>
      </c>
      <c r="O50" s="333" t="str">
        <f t="shared" si="9"/>
        <v>--</v>
      </c>
      <c r="P50" s="89" t="s">
        <v>2123</v>
      </c>
      <c r="Q50" s="89"/>
      <c r="R50" s="51" t="s">
        <v>2122</v>
      </c>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13"/>
      <c r="BA50" s="141" t="str">
        <f t="shared" si="6"/>
        <v/>
      </c>
    </row>
    <row r="51" spans="1:53" ht="12" customHeight="1" x14ac:dyDescent="0.15">
      <c r="P51" s="7"/>
      <c r="BA51" s="141" t="str">
        <f t="shared" si="6"/>
        <v/>
      </c>
    </row>
    <row r="52" spans="1:53" ht="12" customHeight="1" x14ac:dyDescent="0.15">
      <c r="D52" s="110" t="s">
        <v>3649</v>
      </c>
      <c r="P52" s="7"/>
      <c r="BA52" s="141"/>
    </row>
    <row r="53" spans="1:53" ht="12" customHeight="1" x14ac:dyDescent="0.15">
      <c r="P53" s="7"/>
      <c r="BA53" s="141"/>
    </row>
    <row r="54" spans="1:53" ht="11.25" customHeight="1" x14ac:dyDescent="0.15">
      <c r="P54" s="7"/>
      <c r="BA54" s="141"/>
    </row>
    <row r="55" spans="1:53" ht="12" customHeight="1" x14ac:dyDescent="0.15">
      <c r="G55" s="11" t="s">
        <v>1573</v>
      </c>
      <c r="H55" s="75">
        <f>COUNT(L2:L51)</f>
        <v>22</v>
      </c>
      <c r="P55" s="7"/>
      <c r="BA55" s="141"/>
    </row>
    <row r="56" spans="1:53" ht="12" customHeight="1" x14ac:dyDescent="0.15">
      <c r="G56" s="11" t="s">
        <v>1588</v>
      </c>
      <c r="H56" s="75">
        <f>BA59</f>
        <v>13</v>
      </c>
      <c r="P56" s="7"/>
      <c r="BA56" s="141"/>
    </row>
    <row r="57" spans="1:53" ht="12" customHeight="1" x14ac:dyDescent="0.15">
      <c r="C57" s="110"/>
      <c r="G57" s="11" t="s">
        <v>1589</v>
      </c>
      <c r="H57" s="124">
        <f>H56/H55</f>
        <v>0.59090909090909094</v>
      </c>
      <c r="P57" s="7"/>
      <c r="BA57" s="141"/>
    </row>
    <row r="58" spans="1:53" ht="12" customHeight="1" x14ac:dyDescent="0.15">
      <c r="P58" s="7"/>
      <c r="BA58" s="141"/>
    </row>
    <row r="59" spans="1:53" ht="12" customHeight="1" x14ac:dyDescent="0.15">
      <c r="H59" s="103"/>
      <c r="I59" s="103"/>
      <c r="J59" s="103"/>
      <c r="K59" s="103"/>
      <c r="L59" s="97"/>
      <c r="M59" s="97"/>
      <c r="N59" s="338"/>
      <c r="O59" s="338"/>
      <c r="P59" s="149"/>
      <c r="Q59" s="103"/>
      <c r="BA59" s="141">
        <f>SUM(BA2:BA58)</f>
        <v>13</v>
      </c>
    </row>
    <row r="60" spans="1:53" ht="12" customHeight="1" x14ac:dyDescent="0.15">
      <c r="A60" s="6" t="s">
        <v>1800</v>
      </c>
      <c r="F60" s="105" t="s">
        <v>852</v>
      </c>
      <c r="G60" s="131">
        <f>SUM(G$7:G$54)/COUNTA(G$7:G$54)</f>
        <v>23304</v>
      </c>
      <c r="H60" s="132"/>
      <c r="I60" s="132"/>
      <c r="J60" s="132"/>
      <c r="K60" s="132"/>
      <c r="L60" s="98"/>
      <c r="M60" s="98"/>
      <c r="N60" s="335"/>
      <c r="O60" s="335"/>
      <c r="P60" s="133"/>
      <c r="Q60" s="133"/>
      <c r="BA60" s="141"/>
    </row>
    <row r="61" spans="1:53" ht="12" customHeight="1" x14ac:dyDescent="0.15">
      <c r="F61" s="105"/>
      <c r="G61" s="151"/>
      <c r="H61" s="132"/>
      <c r="I61" s="132"/>
      <c r="J61" s="132"/>
      <c r="K61" s="132"/>
      <c r="L61" s="152"/>
      <c r="M61" s="152"/>
      <c r="N61" s="335"/>
      <c r="O61" s="335"/>
      <c r="P61" s="133"/>
      <c r="Q61" s="133"/>
      <c r="BA61" s="141"/>
    </row>
    <row r="62" spans="1:53" ht="12" customHeight="1" x14ac:dyDescent="0.15">
      <c r="F62" s="105"/>
      <c r="G62" s="153" t="s">
        <v>1148</v>
      </c>
      <c r="H62" s="154">
        <f>SUM(H$2:H$52)</f>
        <v>283</v>
      </c>
      <c r="I62" s="154">
        <f>SUM(I$2:I$58)</f>
        <v>32</v>
      </c>
      <c r="J62" s="154">
        <f>SUM(J$2:J$58)</f>
        <v>32</v>
      </c>
      <c r="K62" s="154">
        <f>SUM(K$2:K$58)</f>
        <v>29</v>
      </c>
      <c r="L62" s="86">
        <f>SUM(L$2:L$58)</f>
        <v>979756</v>
      </c>
      <c r="M62" s="92"/>
      <c r="N62" s="63"/>
      <c r="O62" s="63"/>
      <c r="P62" s="155"/>
      <c r="Q62" s="155"/>
      <c r="R62" s="37" t="s">
        <v>361</v>
      </c>
      <c r="BA62" s="141"/>
    </row>
    <row r="63" spans="1:53" ht="12" customHeight="1" x14ac:dyDescent="0.15">
      <c r="F63" s="105"/>
      <c r="G63" s="123" t="s">
        <v>1273</v>
      </c>
      <c r="H63" s="154"/>
      <c r="I63" s="154"/>
      <c r="J63" s="154"/>
      <c r="K63" s="154"/>
      <c r="L63" s="86">
        <f>L62/H62</f>
        <v>3462.035335689046</v>
      </c>
      <c r="M63" s="92"/>
      <c r="N63" s="63"/>
      <c r="O63" s="63"/>
      <c r="P63" s="155"/>
      <c r="Q63" s="155"/>
      <c r="R63" s="37"/>
      <c r="BA63" s="141"/>
    </row>
    <row r="64" spans="1:53" ht="12" customHeight="1" x14ac:dyDescent="0.15">
      <c r="F64" s="71"/>
      <c r="G64" s="21" t="s">
        <v>1252</v>
      </c>
      <c r="H64" s="156">
        <f>I62/H62</f>
        <v>0.11307420494699646</v>
      </c>
      <c r="L64" s="157"/>
      <c r="M64" s="157"/>
      <c r="N64" s="339"/>
      <c r="O64" s="339"/>
      <c r="P64" s="7"/>
      <c r="Q64" s="7"/>
      <c r="BA64" s="14"/>
    </row>
    <row r="65" spans="1:53" s="112" customFormat="1" ht="12" customHeight="1" x14ac:dyDescent="0.15">
      <c r="A65" s="110"/>
      <c r="B65" s="110"/>
      <c r="C65" s="110"/>
      <c r="D65" s="110"/>
      <c r="E65" s="110"/>
      <c r="F65" s="107"/>
      <c r="G65" s="21" t="s">
        <v>1253</v>
      </c>
      <c r="H65" s="156">
        <f>(SUM(I62:K62)/H62)</f>
        <v>0.32862190812720848</v>
      </c>
      <c r="I65" s="134"/>
      <c r="J65" s="134"/>
      <c r="K65" s="134"/>
      <c r="L65" s="158"/>
      <c r="M65" s="158"/>
      <c r="N65" s="340"/>
      <c r="O65" s="340"/>
      <c r="P65" s="159"/>
      <c r="Q65" s="159"/>
      <c r="R65" s="110"/>
      <c r="BA65" s="111"/>
    </row>
    <row r="66" spans="1:53" ht="12" customHeight="1" x14ac:dyDescent="0.15">
      <c r="H66" s="103"/>
      <c r="I66" s="103"/>
      <c r="J66" s="103"/>
      <c r="K66" s="103"/>
      <c r="L66" s="160"/>
      <c r="M66" s="160"/>
      <c r="N66" s="338"/>
      <c r="O66" s="338"/>
      <c r="P66" s="127"/>
      <c r="Q66" s="127"/>
      <c r="BA66" s="14"/>
    </row>
    <row r="67" spans="1:53" s="90" customFormat="1" ht="12" customHeight="1" x14ac:dyDescent="0.15">
      <c r="A67" s="51"/>
      <c r="B67" s="51"/>
      <c r="C67" s="51"/>
      <c r="D67" s="51"/>
      <c r="E67" s="51"/>
      <c r="F67" s="85"/>
      <c r="G67" s="86"/>
      <c r="H67" s="87"/>
      <c r="I67" s="87"/>
      <c r="J67" s="87"/>
      <c r="K67" s="87"/>
      <c r="L67" s="86"/>
      <c r="M67" s="86"/>
      <c r="N67" s="53"/>
      <c r="O67" s="53"/>
      <c r="P67" s="88"/>
      <c r="Q67" s="89"/>
      <c r="R67" s="51"/>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13"/>
    </row>
    <row r="68" spans="1:53" ht="12" customHeight="1" x14ac:dyDescent="0.15">
      <c r="A68" s="110" t="s">
        <v>1736</v>
      </c>
      <c r="F68" s="91"/>
      <c r="G68" s="92"/>
      <c r="H68" s="93"/>
      <c r="I68" s="93"/>
      <c r="J68" s="93"/>
      <c r="K68" s="93"/>
      <c r="L68" s="99"/>
      <c r="M68" s="99"/>
      <c r="N68" s="334"/>
      <c r="O68" s="334"/>
      <c r="P68" s="103"/>
      <c r="Q68" s="103"/>
    </row>
    <row r="69" spans="1:53" ht="12" customHeight="1" x14ac:dyDescent="0.15">
      <c r="F69" s="85"/>
      <c r="G69" s="86"/>
      <c r="H69" s="87"/>
      <c r="I69" s="87"/>
      <c r="J69" s="87"/>
      <c r="K69" s="87"/>
      <c r="L69" s="100"/>
      <c r="M69" s="100"/>
      <c r="N69" s="334"/>
      <c r="O69" s="334"/>
      <c r="P69" s="127"/>
      <c r="Q69" s="127"/>
    </row>
    <row r="70" spans="1:53" s="112" customFormat="1" ht="12" customHeight="1" x14ac:dyDescent="0.15">
      <c r="A70" s="126" t="s">
        <v>612</v>
      </c>
      <c r="B70" s="128"/>
      <c r="C70" s="110"/>
      <c r="D70" s="110"/>
      <c r="E70" s="110"/>
      <c r="F70" s="91"/>
      <c r="G70" s="92"/>
      <c r="H70" s="93"/>
      <c r="I70" s="93"/>
      <c r="J70" s="93"/>
      <c r="K70" s="93"/>
      <c r="L70" s="100"/>
      <c r="M70" s="100"/>
      <c r="N70" s="334"/>
      <c r="O70" s="334"/>
      <c r="P70" s="127"/>
      <c r="Q70" s="127"/>
      <c r="R70" s="110"/>
    </row>
    <row r="71" spans="1:53" s="90" customFormat="1" ht="12" customHeight="1" x14ac:dyDescent="0.15">
      <c r="A71" s="51"/>
      <c r="B71" s="51"/>
      <c r="C71" s="51" t="s">
        <v>104</v>
      </c>
      <c r="D71" s="51" t="s">
        <v>976</v>
      </c>
      <c r="E71" s="51" t="s">
        <v>1463</v>
      </c>
      <c r="F71" s="85" t="s">
        <v>1090</v>
      </c>
      <c r="G71" s="86"/>
      <c r="H71" s="87"/>
      <c r="I71" s="87"/>
      <c r="J71" s="87"/>
      <c r="K71" s="87"/>
      <c r="L71" s="86"/>
      <c r="M71" s="86"/>
      <c r="N71" s="53"/>
      <c r="O71" s="53"/>
      <c r="P71" s="88"/>
      <c r="Q71" s="89"/>
      <c r="R71" s="51" t="s">
        <v>1486</v>
      </c>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13"/>
    </row>
    <row r="72" spans="1:53" s="90" customFormat="1" ht="12" customHeight="1" x14ac:dyDescent="0.15">
      <c r="A72" s="51"/>
      <c r="B72" s="51"/>
      <c r="C72" s="51" t="s">
        <v>977</v>
      </c>
      <c r="D72" s="51" t="s">
        <v>978</v>
      </c>
      <c r="E72" s="51"/>
      <c r="F72" s="85"/>
      <c r="G72" s="86"/>
      <c r="H72" s="87"/>
      <c r="I72" s="87"/>
      <c r="J72" s="87"/>
      <c r="K72" s="87"/>
      <c r="L72" s="86"/>
      <c r="M72" s="86"/>
      <c r="N72" s="53"/>
      <c r="O72" s="53"/>
      <c r="P72" s="88"/>
      <c r="Q72" s="89"/>
      <c r="R72" s="51"/>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13"/>
    </row>
    <row r="73" spans="1:53" ht="12" customHeight="1" x14ac:dyDescent="0.15"/>
    <row r="74" spans="1:53" ht="12" customHeight="1" x14ac:dyDescent="0.15"/>
    <row r="75" spans="1:53" ht="12" customHeight="1" x14ac:dyDescent="0.15">
      <c r="F75" s="91"/>
      <c r="G75" s="92"/>
      <c r="H75" s="93"/>
      <c r="I75" s="93"/>
      <c r="J75" s="93"/>
      <c r="K75" s="93"/>
      <c r="L75" s="100"/>
      <c r="M75" s="100"/>
      <c r="N75" s="334"/>
      <c r="O75" s="334"/>
      <c r="P75" s="127"/>
      <c r="Q75" s="127"/>
    </row>
    <row r="76" spans="1:53" ht="12" customHeight="1" x14ac:dyDescent="0.15">
      <c r="F76" s="85"/>
      <c r="G76" s="86"/>
      <c r="H76" s="87"/>
      <c r="I76" s="87"/>
      <c r="J76" s="87"/>
      <c r="K76" s="87"/>
      <c r="L76" s="100"/>
      <c r="M76" s="100"/>
      <c r="N76" s="334"/>
      <c r="O76" s="334"/>
      <c r="P76" s="127"/>
      <c r="Q76" s="127"/>
    </row>
    <row r="77" spans="1:53" ht="12" customHeight="1" x14ac:dyDescent="0.15">
      <c r="F77" s="91"/>
      <c r="G77" s="92"/>
      <c r="H77" s="93"/>
      <c r="I77" s="93"/>
      <c r="J77" s="93"/>
      <c r="K77" s="93"/>
      <c r="L77" s="100"/>
      <c r="M77" s="100"/>
      <c r="N77" s="334"/>
      <c r="O77" s="334"/>
      <c r="P77" s="127"/>
      <c r="Q77" s="127"/>
    </row>
    <row r="78" spans="1:53" ht="12" customHeight="1" x14ac:dyDescent="0.15"/>
    <row r="79" spans="1:53" ht="12" customHeight="1" x14ac:dyDescent="0.15"/>
    <row r="80" spans="1:53" ht="12" customHeight="1" x14ac:dyDescent="0.15"/>
  </sheetData>
  <sortState ref="A13:AX24">
    <sortCondition ref="C13:C24"/>
  </sortState>
  <phoneticPr fontId="4" type="noConversion"/>
  <pageMargins left="0.7" right="0.7" top="0.75" bottom="0.75" header="0.3" footer="0.3"/>
  <pageSetup orientation="portrait"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16"/>
  <sheetViews>
    <sheetView workbookViewId="0">
      <pane ySplit="3" topLeftCell="A14" activePane="bottomLeft" state="frozen"/>
      <selection pane="bottomLeft" activeCell="A44" sqref="A44:XFD44"/>
    </sheetView>
  </sheetViews>
  <sheetFormatPr baseColWidth="10" defaultColWidth="9.1640625" defaultRowHeight="12" x14ac:dyDescent="0.15"/>
  <cols>
    <col min="1" max="1" width="20.33203125" style="6" customWidth="1"/>
    <col min="2" max="2" width="13.33203125" style="6" customWidth="1"/>
    <col min="3" max="3" width="23.33203125" style="6" customWidth="1"/>
    <col min="4" max="5" width="17.1640625" style="6" customWidth="1"/>
    <col min="6" max="6" width="11.5" style="101" customWidth="1"/>
    <col min="7" max="7" width="10.33203125" style="102" customWidth="1"/>
    <col min="8" max="8" width="4.83203125" style="75" customWidth="1"/>
    <col min="9" max="11" width="3.5" style="75" customWidth="1"/>
    <col min="12" max="12" width="10.5" style="21" customWidth="1"/>
    <col min="13" max="13" width="9.6640625" style="21" customWidth="1"/>
    <col min="14" max="15" width="5.33203125" style="8" customWidth="1"/>
    <col min="16" max="16" width="12.6640625" style="7" customWidth="1"/>
    <col min="17" max="17" width="14.33203125" style="75" customWidth="1"/>
    <col min="18" max="18" width="9.1640625" style="6"/>
    <col min="19" max="19" width="2.6640625" style="14" customWidth="1"/>
    <col min="20" max="20" width="9.1640625" style="14"/>
    <col min="21" max="22" width="9.1640625" style="13"/>
    <col min="23" max="23" width="2.6640625" style="13" customWidth="1"/>
    <col min="24" max="52" width="9.1640625" style="13"/>
    <col min="53" max="53" width="9.1640625" style="6"/>
    <col min="54" max="16384" width="9.1640625" style="13"/>
  </cols>
  <sheetData>
    <row r="1" spans="1:56" ht="12" customHeight="1" x14ac:dyDescent="0.15">
      <c r="A1" s="6" t="s">
        <v>2435</v>
      </c>
    </row>
    <row r="2" spans="1:56" ht="12" customHeight="1" x14ac:dyDescent="0.15">
      <c r="A2" s="72"/>
      <c r="F2" s="73"/>
      <c r="G2" s="74" t="s">
        <v>436</v>
      </c>
      <c r="K2" s="76"/>
      <c r="L2" s="74" t="s">
        <v>624</v>
      </c>
      <c r="M2" s="74"/>
      <c r="N2" s="332"/>
      <c r="O2" s="332"/>
      <c r="P2" s="36"/>
      <c r="Q2" s="7"/>
      <c r="R2" s="7"/>
      <c r="U2" s="38"/>
      <c r="AC2" s="77"/>
    </row>
    <row r="3" spans="1:56" s="84" customFormat="1" ht="44" customHeight="1" thickBot="1" x14ac:dyDescent="0.2">
      <c r="A3" s="78" t="s">
        <v>720</v>
      </c>
      <c r="B3" s="78" t="s">
        <v>710</v>
      </c>
      <c r="C3" s="78" t="s">
        <v>844</v>
      </c>
      <c r="D3" s="78" t="s">
        <v>670</v>
      </c>
      <c r="E3" s="78" t="s">
        <v>310</v>
      </c>
      <c r="F3" s="79" t="s">
        <v>845</v>
      </c>
      <c r="G3" s="80" t="s">
        <v>635</v>
      </c>
      <c r="H3" s="81" t="s">
        <v>392</v>
      </c>
      <c r="I3" s="81" t="s">
        <v>393</v>
      </c>
      <c r="J3" s="81" t="s">
        <v>394</v>
      </c>
      <c r="K3" s="81" t="s">
        <v>395</v>
      </c>
      <c r="L3" s="82" t="s">
        <v>647</v>
      </c>
      <c r="M3" s="82" t="s">
        <v>1977</v>
      </c>
      <c r="N3" s="190" t="s">
        <v>2301</v>
      </c>
      <c r="O3" s="190" t="s">
        <v>2302</v>
      </c>
      <c r="P3" s="341" t="s">
        <v>120</v>
      </c>
      <c r="Q3" s="81" t="s">
        <v>1242</v>
      </c>
      <c r="R3" s="78" t="s">
        <v>669</v>
      </c>
      <c r="S3" s="83"/>
      <c r="T3" s="83"/>
      <c r="BA3" s="440"/>
    </row>
    <row r="4" spans="1:56" s="140" customFormat="1" ht="12" customHeight="1" thickTop="1" x14ac:dyDescent="0.15">
      <c r="A4" s="58" t="s">
        <v>2143</v>
      </c>
      <c r="B4" s="58" t="s">
        <v>1895</v>
      </c>
      <c r="C4" s="58" t="s">
        <v>2144</v>
      </c>
      <c r="D4" s="58" t="s">
        <v>2145</v>
      </c>
      <c r="E4" s="58" t="s">
        <v>1790</v>
      </c>
      <c r="F4" s="137">
        <v>40970</v>
      </c>
      <c r="G4" s="138"/>
      <c r="H4" s="139">
        <v>5</v>
      </c>
      <c r="I4" s="139">
        <v>3</v>
      </c>
      <c r="J4" s="139">
        <v>0</v>
      </c>
      <c r="K4" s="139">
        <v>0</v>
      </c>
      <c r="L4" s="191">
        <f>36960+45000+2580+1450+26400</f>
        <v>112390</v>
      </c>
      <c r="M4" s="191">
        <f>IF(H4="","",L4/H4)</f>
        <v>22478</v>
      </c>
      <c r="N4" s="330">
        <f>IF(H4="","--",I4/H4)</f>
        <v>0.6</v>
      </c>
      <c r="O4" s="330">
        <f>IF(H4="","--",SUM(I4:K4)/H4)</f>
        <v>0.6</v>
      </c>
      <c r="P4" s="56" t="s">
        <v>5369</v>
      </c>
      <c r="Q4" s="56" t="s">
        <v>1270</v>
      </c>
      <c r="R4" s="58" t="s">
        <v>3302</v>
      </c>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BA4" s="441">
        <f>IF(I4="","",IF(I4=0,0,1))</f>
        <v>1</v>
      </c>
      <c r="BD4" s="141"/>
    </row>
    <row r="5" spans="1:56" s="140" customFormat="1" ht="12" customHeight="1" x14ac:dyDescent="0.15">
      <c r="A5" s="58" t="s">
        <v>2127</v>
      </c>
      <c r="B5" s="58" t="s">
        <v>2146</v>
      </c>
      <c r="C5" s="58" t="s">
        <v>1626</v>
      </c>
      <c r="D5" s="58" t="s">
        <v>1636</v>
      </c>
      <c r="E5" s="58" t="s">
        <v>1838</v>
      </c>
      <c r="F5" s="137">
        <v>41059</v>
      </c>
      <c r="G5" s="138"/>
      <c r="H5" s="139">
        <v>26</v>
      </c>
      <c r="I5" s="139">
        <v>7</v>
      </c>
      <c r="J5" s="139">
        <v>6</v>
      </c>
      <c r="K5" s="139">
        <v>2</v>
      </c>
      <c r="L5" s="191">
        <f>494+100+2480+100+10080+512+100+2760+100+2020+8160+700+100+2060+2020+6120+6120+100+1010+5760+2000+5880+1980+6000+488+600</f>
        <v>67844</v>
      </c>
      <c r="M5" s="191">
        <f t="shared" ref="M5:M11" si="0">IF(H5="","",L5/H5)</f>
        <v>2609.3846153846152</v>
      </c>
      <c r="N5" s="330">
        <f t="shared" ref="N5:N20" si="1">IF(H5="","--",I5/H5)</f>
        <v>0.26923076923076922</v>
      </c>
      <c r="O5" s="330">
        <f t="shared" ref="O5:O20" si="2">IF(H5="","--",SUM(I5:K5)/H5)</f>
        <v>0.57692307692307687</v>
      </c>
      <c r="P5" s="56" t="s">
        <v>5742</v>
      </c>
      <c r="Q5" s="56" t="s">
        <v>1893</v>
      </c>
      <c r="R5" s="58" t="s">
        <v>2128</v>
      </c>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BA5" s="441">
        <f t="shared" ref="BA5:BA59" si="3">IF(I5="","",IF(I5=0,0,1))</f>
        <v>1</v>
      </c>
      <c r="BD5" s="141"/>
    </row>
    <row r="6" spans="1:56" s="140" customFormat="1" ht="12" customHeight="1" x14ac:dyDescent="0.15">
      <c r="A6" s="58" t="s">
        <v>2480</v>
      </c>
      <c r="B6" s="58" t="s">
        <v>1895</v>
      </c>
      <c r="C6" s="58" t="s">
        <v>1676</v>
      </c>
      <c r="D6" s="58" t="s">
        <v>1085</v>
      </c>
      <c r="E6" s="58" t="s">
        <v>1677</v>
      </c>
      <c r="F6" s="137">
        <v>40933</v>
      </c>
      <c r="G6" s="138">
        <v>13000</v>
      </c>
      <c r="H6" s="139">
        <v>9</v>
      </c>
      <c r="I6" s="139">
        <v>1</v>
      </c>
      <c r="J6" s="139">
        <v>0</v>
      </c>
      <c r="K6" s="139">
        <v>2</v>
      </c>
      <c r="L6" s="191">
        <f>380+2640+380+11400+830+210+210+1600+170</f>
        <v>17820</v>
      </c>
      <c r="M6" s="191">
        <f t="shared" si="0"/>
        <v>1980</v>
      </c>
      <c r="N6" s="330">
        <f t="shared" si="1"/>
        <v>0.1111111111111111</v>
      </c>
      <c r="O6" s="330">
        <f t="shared" si="2"/>
        <v>0.33333333333333331</v>
      </c>
      <c r="P6" s="56" t="s">
        <v>5583</v>
      </c>
      <c r="Q6" s="56" t="s">
        <v>12</v>
      </c>
      <c r="R6" s="58" t="s">
        <v>2369</v>
      </c>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BA6" s="441">
        <f>IF(I6="","",IF(I6=0,0,1))</f>
        <v>1</v>
      </c>
      <c r="BD6" s="141"/>
    </row>
    <row r="7" spans="1:56" s="140" customFormat="1" ht="12" customHeight="1" x14ac:dyDescent="0.15">
      <c r="A7" s="58" t="s">
        <v>2364</v>
      </c>
      <c r="B7" s="58" t="s">
        <v>1988</v>
      </c>
      <c r="C7" s="58" t="s">
        <v>1867</v>
      </c>
      <c r="D7" s="58" t="s">
        <v>1868</v>
      </c>
      <c r="E7" s="58" t="s">
        <v>1869</v>
      </c>
      <c r="F7" s="137">
        <v>40977</v>
      </c>
      <c r="G7" s="138">
        <v>22000</v>
      </c>
      <c r="H7" s="139">
        <v>20</v>
      </c>
      <c r="I7" s="139">
        <v>5</v>
      </c>
      <c r="J7" s="139">
        <v>3</v>
      </c>
      <c r="K7" s="139">
        <v>4</v>
      </c>
      <c r="L7" s="191">
        <f>102450+700+1820+3400+7800+2080+700+200</f>
        <v>119150</v>
      </c>
      <c r="M7" s="191">
        <f t="shared" si="0"/>
        <v>5957.5</v>
      </c>
      <c r="N7" s="330">
        <f t="shared" si="1"/>
        <v>0.25</v>
      </c>
      <c r="O7" s="330">
        <f t="shared" si="2"/>
        <v>0.6</v>
      </c>
      <c r="P7" s="56" t="s">
        <v>5672</v>
      </c>
      <c r="Q7" s="56" t="s">
        <v>1311</v>
      </c>
      <c r="R7" s="58" t="s">
        <v>3425</v>
      </c>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BA7" s="441">
        <f t="shared" si="3"/>
        <v>1</v>
      </c>
      <c r="BD7" s="141"/>
    </row>
    <row r="8" spans="1:56" s="140" customFormat="1" ht="12" customHeight="1" x14ac:dyDescent="0.15">
      <c r="A8" s="58" t="s">
        <v>2155</v>
      </c>
      <c r="B8" s="58" t="s">
        <v>3271</v>
      </c>
      <c r="C8" s="58" t="s">
        <v>1619</v>
      </c>
      <c r="D8" s="58" t="s">
        <v>2156</v>
      </c>
      <c r="E8" s="58" t="s">
        <v>1767</v>
      </c>
      <c r="F8" s="137">
        <v>40985</v>
      </c>
      <c r="G8" s="138"/>
      <c r="H8" s="139">
        <v>16</v>
      </c>
      <c r="I8" s="139">
        <v>5</v>
      </c>
      <c r="J8" s="139">
        <v>1</v>
      </c>
      <c r="K8" s="139">
        <v>0</v>
      </c>
      <c r="L8" s="191">
        <f>2400+0+2400+10920+29640+0+31122+900+2700+0+23712+0+900+1800+45000+33345</f>
        <v>184839</v>
      </c>
      <c r="M8" s="191">
        <f t="shared" si="0"/>
        <v>11552.4375</v>
      </c>
      <c r="N8" s="330">
        <f t="shared" si="1"/>
        <v>0.3125</v>
      </c>
      <c r="O8" s="330">
        <f t="shared" si="2"/>
        <v>0.375</v>
      </c>
      <c r="P8" s="56" t="s">
        <v>5663</v>
      </c>
      <c r="Q8" s="56" t="s">
        <v>141</v>
      </c>
      <c r="R8" s="58" t="s">
        <v>5548</v>
      </c>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BA8" s="441">
        <f>IF(I8="","",IF(I8=0,0,1))</f>
        <v>1</v>
      </c>
      <c r="BD8" s="141"/>
    </row>
    <row r="9" spans="1:56" s="140" customFormat="1" ht="12" customHeight="1" x14ac:dyDescent="0.15">
      <c r="A9" s="58" t="s">
        <v>2166</v>
      </c>
      <c r="B9" s="58" t="s">
        <v>384</v>
      </c>
      <c r="C9" s="58" t="s">
        <v>2167</v>
      </c>
      <c r="D9" s="58" t="s">
        <v>2148</v>
      </c>
      <c r="E9" s="58" t="s">
        <v>1797</v>
      </c>
      <c r="F9" s="137">
        <v>41001</v>
      </c>
      <c r="G9" s="138"/>
      <c r="H9" s="139">
        <v>13</v>
      </c>
      <c r="I9" s="139">
        <v>4</v>
      </c>
      <c r="J9" s="139">
        <v>4</v>
      </c>
      <c r="K9" s="139">
        <v>0</v>
      </c>
      <c r="L9" s="191">
        <f>16200+700+5600+19980+7000+0+725+13260+7080+200+7080+21240</f>
        <v>99065</v>
      </c>
      <c r="M9" s="191">
        <f t="shared" si="0"/>
        <v>7620.3846153846152</v>
      </c>
      <c r="N9" s="330">
        <f t="shared" si="1"/>
        <v>0.30769230769230771</v>
      </c>
      <c r="O9" s="330">
        <f t="shared" si="2"/>
        <v>0.61538461538461542</v>
      </c>
      <c r="P9" s="56" t="s">
        <v>5617</v>
      </c>
      <c r="Q9" s="56" t="s">
        <v>1270</v>
      </c>
      <c r="R9" s="58" t="s">
        <v>1798</v>
      </c>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BA9" s="441">
        <f>IF(I9="","",IF(I9=0,0,1))</f>
        <v>1</v>
      </c>
      <c r="BD9" s="141"/>
    </row>
    <row r="10" spans="1:56" s="140" customFormat="1" ht="12" customHeight="1" x14ac:dyDescent="0.15">
      <c r="A10" s="58" t="s">
        <v>2170</v>
      </c>
      <c r="B10" s="58" t="s">
        <v>2414</v>
      </c>
      <c r="C10" s="58" t="s">
        <v>2171</v>
      </c>
      <c r="D10" s="58" t="s">
        <v>2156</v>
      </c>
      <c r="E10" s="58" t="s">
        <v>1774</v>
      </c>
      <c r="F10" s="137">
        <v>41004</v>
      </c>
      <c r="G10" s="138"/>
      <c r="H10" s="139">
        <v>26</v>
      </c>
      <c r="I10" s="139">
        <v>6</v>
      </c>
      <c r="J10" s="139">
        <v>2</v>
      </c>
      <c r="K10" s="139">
        <v>4</v>
      </c>
      <c r="L10" s="191">
        <f>3762+6840+19980+0+3894+6660+2700+19980+3894+500+1770+885+885+885+14400+0+0+2376+12960+21240+25650+0+1800+0+450+0</f>
        <v>151511</v>
      </c>
      <c r="M10" s="191">
        <f t="shared" si="0"/>
        <v>5827.3461538461543</v>
      </c>
      <c r="N10" s="330">
        <f t="shared" si="1"/>
        <v>0.23076923076923078</v>
      </c>
      <c r="O10" s="330">
        <f t="shared" si="2"/>
        <v>0.46153846153846156</v>
      </c>
      <c r="P10" s="56" t="s">
        <v>5663</v>
      </c>
      <c r="Q10" s="56" t="s">
        <v>2514</v>
      </c>
      <c r="R10" s="58"/>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BA10" s="441">
        <f t="shared" si="3"/>
        <v>1</v>
      </c>
      <c r="BD10" s="141"/>
    </row>
    <row r="11" spans="1:56" s="140" customFormat="1" ht="12" customHeight="1" x14ac:dyDescent="0.15">
      <c r="A11" s="58" t="s">
        <v>2355</v>
      </c>
      <c r="B11" s="58" t="s">
        <v>1078</v>
      </c>
      <c r="C11" s="58" t="s">
        <v>1875</v>
      </c>
      <c r="D11" s="58" t="s">
        <v>807</v>
      </c>
      <c r="E11" s="58" t="s">
        <v>1876</v>
      </c>
      <c r="F11" s="137">
        <v>41039</v>
      </c>
      <c r="G11" s="138">
        <v>40000</v>
      </c>
      <c r="H11" s="139">
        <v>27</v>
      </c>
      <c r="I11" s="139">
        <v>6</v>
      </c>
      <c r="J11" s="139">
        <v>9</v>
      </c>
      <c r="K11" s="139">
        <v>2</v>
      </c>
      <c r="L11" s="191">
        <f>140050+912+1850+8000</f>
        <v>150812</v>
      </c>
      <c r="M11" s="191">
        <f t="shared" si="0"/>
        <v>5585.6296296296296</v>
      </c>
      <c r="N11" s="330">
        <f t="shared" si="1"/>
        <v>0.22222222222222221</v>
      </c>
      <c r="O11" s="330">
        <f t="shared" si="2"/>
        <v>0.62962962962962965</v>
      </c>
      <c r="P11" s="56" t="s">
        <v>5489</v>
      </c>
      <c r="Q11" s="56" t="s">
        <v>1987</v>
      </c>
      <c r="R11" s="58" t="s">
        <v>2325</v>
      </c>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BA11" s="441">
        <f t="shared" si="3"/>
        <v>1</v>
      </c>
      <c r="BD11" s="141"/>
    </row>
    <row r="12" spans="1:56" s="140" customFormat="1" ht="12" customHeight="1" x14ac:dyDescent="0.15">
      <c r="A12" s="58" t="s">
        <v>2227</v>
      </c>
      <c r="B12" s="58" t="s">
        <v>28</v>
      </c>
      <c r="C12" s="58" t="s">
        <v>2189</v>
      </c>
      <c r="D12" s="58" t="s">
        <v>2190</v>
      </c>
      <c r="E12" s="58" t="s">
        <v>1776</v>
      </c>
      <c r="F12" s="137">
        <v>41008</v>
      </c>
      <c r="G12" s="138"/>
      <c r="H12" s="139">
        <v>14</v>
      </c>
      <c r="I12" s="139">
        <v>2</v>
      </c>
      <c r="J12" s="139">
        <v>1</v>
      </c>
      <c r="K12" s="139">
        <v>5</v>
      </c>
      <c r="L12" s="191">
        <f>250+7700+14000+4070+4070+3762+3000+22200+1998+200+42840+200+200</f>
        <v>104490</v>
      </c>
      <c r="M12" s="191">
        <f t="shared" ref="M12:M18" si="4">IF(H12="","",L12/H12)</f>
        <v>7463.5714285714284</v>
      </c>
      <c r="N12" s="330">
        <f t="shared" ref="N12:N18" si="5">IF(H12="","--",I12/H12)</f>
        <v>0.14285714285714285</v>
      </c>
      <c r="O12" s="330">
        <f t="shared" ref="O12:O18" si="6">IF(H12="","--",SUM(I12:K12)/H12)</f>
        <v>0.5714285714285714</v>
      </c>
      <c r="P12" s="56" t="s">
        <v>5637</v>
      </c>
      <c r="Q12" s="56" t="s">
        <v>1311</v>
      </c>
      <c r="R12" s="58"/>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BA12" s="441">
        <f t="shared" ref="BA12:BA18" si="7">IF(I12="","",IF(I12=0,0,1))</f>
        <v>1</v>
      </c>
      <c r="BD12" s="141"/>
    </row>
    <row r="13" spans="1:56" s="140" customFormat="1" ht="12" customHeight="1" x14ac:dyDescent="0.15">
      <c r="A13" s="58" t="s">
        <v>2276</v>
      </c>
      <c r="B13" s="58" t="s">
        <v>1807</v>
      </c>
      <c r="C13" s="58" t="s">
        <v>2198</v>
      </c>
      <c r="D13" s="58" t="s">
        <v>2199</v>
      </c>
      <c r="E13" s="58" t="s">
        <v>1786</v>
      </c>
      <c r="F13" s="137">
        <v>41029</v>
      </c>
      <c r="G13" s="138"/>
      <c r="H13" s="139">
        <v>12</v>
      </c>
      <c r="I13" s="139">
        <v>2</v>
      </c>
      <c r="J13" s="139">
        <v>0</v>
      </c>
      <c r="K13" s="139">
        <v>2</v>
      </c>
      <c r="L13" s="191">
        <f>700+2400+0+125+300+10800+200+12540+3663+999+0+513</f>
        <v>32240</v>
      </c>
      <c r="M13" s="191">
        <f t="shared" si="4"/>
        <v>2686.6666666666665</v>
      </c>
      <c r="N13" s="330">
        <f t="shared" si="5"/>
        <v>0.16666666666666666</v>
      </c>
      <c r="O13" s="330">
        <f t="shared" si="6"/>
        <v>0.33333333333333331</v>
      </c>
      <c r="P13" s="56" t="s">
        <v>5617</v>
      </c>
      <c r="Q13" s="56" t="s">
        <v>2460</v>
      </c>
      <c r="R13" s="58"/>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BA13" s="441">
        <f t="shared" si="7"/>
        <v>1</v>
      </c>
      <c r="BD13" s="141"/>
    </row>
    <row r="14" spans="1:56" s="140" customFormat="1" ht="12" customHeight="1" x14ac:dyDescent="0.15">
      <c r="A14" s="58" t="s">
        <v>2278</v>
      </c>
      <c r="B14" s="58" t="s">
        <v>384</v>
      </c>
      <c r="C14" s="58" t="s">
        <v>1870</v>
      </c>
      <c r="D14" s="58" t="s">
        <v>1871</v>
      </c>
      <c r="E14" s="58" t="s">
        <v>1872</v>
      </c>
      <c r="F14" s="137">
        <v>41046</v>
      </c>
      <c r="G14" s="138">
        <v>12000</v>
      </c>
      <c r="H14" s="139">
        <v>14</v>
      </c>
      <c r="I14" s="139">
        <v>2</v>
      </c>
      <c r="J14" s="139">
        <v>3</v>
      </c>
      <c r="K14" s="139">
        <v>4</v>
      </c>
      <c r="L14" s="191">
        <f>32734+16200+7800+200+1500</f>
        <v>58434</v>
      </c>
      <c r="M14" s="191">
        <f t="shared" si="4"/>
        <v>4173.8571428571431</v>
      </c>
      <c r="N14" s="330">
        <f t="shared" si="5"/>
        <v>0.14285714285714285</v>
      </c>
      <c r="O14" s="330">
        <f t="shared" si="6"/>
        <v>0.6428571428571429</v>
      </c>
      <c r="P14" s="56" t="s">
        <v>5667</v>
      </c>
      <c r="Q14" s="56" t="s">
        <v>1258</v>
      </c>
      <c r="R14" s="58" t="s">
        <v>3452</v>
      </c>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BA14" s="441">
        <f t="shared" si="7"/>
        <v>1</v>
      </c>
      <c r="BD14" s="141"/>
    </row>
    <row r="15" spans="1:56" s="140" customFormat="1" ht="12" customHeight="1" x14ac:dyDescent="0.15">
      <c r="A15" s="58" t="s">
        <v>2218</v>
      </c>
      <c r="B15" s="58" t="s">
        <v>1895</v>
      </c>
      <c r="C15" s="58" t="s">
        <v>2183</v>
      </c>
      <c r="D15" s="58" t="s">
        <v>2184</v>
      </c>
      <c r="E15" s="58" t="s">
        <v>1795</v>
      </c>
      <c r="F15" s="137">
        <v>41038</v>
      </c>
      <c r="G15" s="138">
        <v>2500</v>
      </c>
      <c r="H15" s="139">
        <v>18</v>
      </c>
      <c r="I15" s="139">
        <v>1</v>
      </c>
      <c r="J15" s="139">
        <v>1</v>
      </c>
      <c r="K15" s="139">
        <v>1</v>
      </c>
      <c r="L15" s="191">
        <f>125+0+0+660+0+0+1620+0+810+4560+0+0+1320+4620+440+12540+0</f>
        <v>26695</v>
      </c>
      <c r="M15" s="191">
        <f t="shared" si="4"/>
        <v>1483.0555555555557</v>
      </c>
      <c r="N15" s="330">
        <f t="shared" si="5"/>
        <v>5.5555555555555552E-2</v>
      </c>
      <c r="O15" s="330">
        <f t="shared" si="6"/>
        <v>0.16666666666666666</v>
      </c>
      <c r="P15" s="56" t="s">
        <v>5718</v>
      </c>
      <c r="Q15" s="56" t="s">
        <v>2324</v>
      </c>
      <c r="R15" s="58" t="s">
        <v>2416</v>
      </c>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BA15" s="441">
        <f t="shared" si="7"/>
        <v>1</v>
      </c>
      <c r="BD15" s="141"/>
    </row>
    <row r="16" spans="1:56" s="140" customFormat="1" ht="12" customHeight="1" x14ac:dyDescent="0.15">
      <c r="A16" s="58" t="s">
        <v>1710</v>
      </c>
      <c r="B16" s="58" t="s">
        <v>2173</v>
      </c>
      <c r="C16" s="58" t="s">
        <v>2174</v>
      </c>
      <c r="D16" s="58" t="s">
        <v>2175</v>
      </c>
      <c r="E16" s="58" t="s">
        <v>1711</v>
      </c>
      <c r="F16" s="137">
        <v>40988</v>
      </c>
      <c r="G16" s="138"/>
      <c r="H16" s="139">
        <v>10</v>
      </c>
      <c r="I16" s="139">
        <v>1</v>
      </c>
      <c r="J16" s="139">
        <v>0</v>
      </c>
      <c r="K16" s="139">
        <v>0</v>
      </c>
      <c r="L16" s="191">
        <f>1125+500+12000+715+300+170+300+250+0+513</f>
        <v>15873</v>
      </c>
      <c r="M16" s="191">
        <f t="shared" si="4"/>
        <v>1587.3</v>
      </c>
      <c r="N16" s="330">
        <f t="shared" si="5"/>
        <v>0.1</v>
      </c>
      <c r="O16" s="330">
        <f t="shared" si="6"/>
        <v>0.1</v>
      </c>
      <c r="P16" s="56" t="s">
        <v>5626</v>
      </c>
      <c r="Q16" s="56" t="s">
        <v>1270</v>
      </c>
      <c r="R16" s="58"/>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BA16" s="441">
        <f t="shared" si="7"/>
        <v>1</v>
      </c>
      <c r="BD16" s="141"/>
    </row>
    <row r="17" spans="1:56" s="140" customFormat="1" ht="12" customHeight="1" x14ac:dyDescent="0.15">
      <c r="A17" s="58" t="s">
        <v>2176</v>
      </c>
      <c r="B17" s="58" t="s">
        <v>1988</v>
      </c>
      <c r="C17" s="58" t="s">
        <v>2072</v>
      </c>
      <c r="D17" s="58" t="s">
        <v>819</v>
      </c>
      <c r="E17" s="58" t="s">
        <v>2073</v>
      </c>
      <c r="F17" s="137">
        <v>41021</v>
      </c>
      <c r="G17" s="138"/>
      <c r="H17" s="139">
        <v>7</v>
      </c>
      <c r="I17" s="139">
        <v>1</v>
      </c>
      <c r="J17" s="139">
        <v>2</v>
      </c>
      <c r="K17" s="139">
        <v>0</v>
      </c>
      <c r="L17" s="191">
        <f>2520+2520+0+0+6300+0+0</f>
        <v>11340</v>
      </c>
      <c r="M17" s="191">
        <f>IF(H17="","",L17/H17)</f>
        <v>1620</v>
      </c>
      <c r="N17" s="330">
        <f>IF(H17="","--",I17/H17)</f>
        <v>0.14285714285714285</v>
      </c>
      <c r="O17" s="330">
        <f>IF(H17="","--",SUM(I17:K17)/H17)</f>
        <v>0.42857142857142855</v>
      </c>
      <c r="P17" s="56" t="s">
        <v>5617</v>
      </c>
      <c r="Q17" s="56" t="s">
        <v>1270</v>
      </c>
      <c r="R17" s="58" t="s">
        <v>2078</v>
      </c>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BA17" s="441">
        <f>IF(I17="","",IF(I17=0,0,1))</f>
        <v>1</v>
      </c>
      <c r="BD17" s="141"/>
    </row>
    <row r="18" spans="1:56" s="140" customFormat="1" ht="12" customHeight="1" x14ac:dyDescent="0.15">
      <c r="A18" s="58" t="s">
        <v>2177</v>
      </c>
      <c r="B18" s="58" t="s">
        <v>29</v>
      </c>
      <c r="C18" s="58" t="s">
        <v>1803</v>
      </c>
      <c r="D18" s="58" t="s">
        <v>1804</v>
      </c>
      <c r="E18" s="58" t="s">
        <v>1805</v>
      </c>
      <c r="F18" s="137">
        <v>41036</v>
      </c>
      <c r="G18" s="138"/>
      <c r="H18" s="139">
        <v>6</v>
      </c>
      <c r="I18" s="139">
        <v>1</v>
      </c>
      <c r="J18" s="139">
        <v>0</v>
      </c>
      <c r="K18" s="139">
        <v>0</v>
      </c>
      <c r="L18" s="191">
        <f>0+0+0+200+19980+1770</f>
        <v>21950</v>
      </c>
      <c r="M18" s="191">
        <f t="shared" si="4"/>
        <v>3658.3333333333335</v>
      </c>
      <c r="N18" s="330">
        <f t="shared" si="5"/>
        <v>0.16666666666666666</v>
      </c>
      <c r="O18" s="330">
        <f t="shared" si="6"/>
        <v>0.16666666666666666</v>
      </c>
      <c r="P18" s="56" t="s">
        <v>5707</v>
      </c>
      <c r="Q18" s="56" t="s">
        <v>1809</v>
      </c>
      <c r="R18" s="58"/>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BA18" s="441">
        <f t="shared" si="7"/>
        <v>1</v>
      </c>
      <c r="BD18" s="141"/>
    </row>
    <row r="19" spans="1:56" s="140" customFormat="1" ht="12" customHeight="1" x14ac:dyDescent="0.15">
      <c r="A19" s="58" t="s">
        <v>2178</v>
      </c>
      <c r="B19" s="58" t="s">
        <v>1988</v>
      </c>
      <c r="C19" s="58" t="s">
        <v>1854</v>
      </c>
      <c r="D19" s="58" t="s">
        <v>2179</v>
      </c>
      <c r="E19" s="58" t="s">
        <v>1855</v>
      </c>
      <c r="F19" s="137">
        <v>41052</v>
      </c>
      <c r="G19" s="138"/>
      <c r="H19" s="139">
        <v>14</v>
      </c>
      <c r="I19" s="139">
        <v>3</v>
      </c>
      <c r="J19" s="139">
        <v>1</v>
      </c>
      <c r="K19" s="139">
        <v>1</v>
      </c>
      <c r="L19" s="191">
        <f>972+0+7560+0+2736+0+342+372+0+8580+1690+375+10140</f>
        <v>32767</v>
      </c>
      <c r="M19" s="191">
        <f t="shared" ref="M19:M22" si="8">IF(H19="","",L19/H19)</f>
        <v>2340.5</v>
      </c>
      <c r="N19" s="330">
        <f t="shared" si="1"/>
        <v>0.21428571428571427</v>
      </c>
      <c r="O19" s="330">
        <f t="shared" si="2"/>
        <v>0.35714285714285715</v>
      </c>
      <c r="P19" s="56" t="s">
        <v>5529</v>
      </c>
      <c r="Q19" s="56" t="s">
        <v>1270</v>
      </c>
      <c r="R19" s="58"/>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BA19" s="441">
        <f t="shared" ref="BA19:BA22" si="9">IF(I19="","",IF(I19=0,0,1))</f>
        <v>1</v>
      </c>
      <c r="BD19" s="141"/>
    </row>
    <row r="20" spans="1:56" s="90" customFormat="1" ht="12" customHeight="1" x14ac:dyDescent="0.15">
      <c r="A20" s="142" t="s">
        <v>2157</v>
      </c>
      <c r="B20" s="142" t="s">
        <v>1895</v>
      </c>
      <c r="C20" s="142" t="s">
        <v>1873</v>
      </c>
      <c r="D20" s="142" t="s">
        <v>1702</v>
      </c>
      <c r="E20" s="142" t="s">
        <v>1874</v>
      </c>
      <c r="F20" s="143">
        <v>40957</v>
      </c>
      <c r="G20" s="144"/>
      <c r="H20" s="145">
        <v>6</v>
      </c>
      <c r="I20" s="145">
        <v>0</v>
      </c>
      <c r="J20" s="145">
        <v>1</v>
      </c>
      <c r="K20" s="145">
        <v>0</v>
      </c>
      <c r="L20" s="146">
        <f>500+500+500+137+1710+6840</f>
        <v>10187</v>
      </c>
      <c r="M20" s="146">
        <f>IF(H20="","",L20/H20)</f>
        <v>1697.8333333333333</v>
      </c>
      <c r="N20" s="331">
        <f t="shared" si="1"/>
        <v>0</v>
      </c>
      <c r="O20" s="331">
        <f t="shared" si="2"/>
        <v>0.16666666666666666</v>
      </c>
      <c r="P20" s="147" t="s">
        <v>5708</v>
      </c>
      <c r="Q20" s="147" t="s">
        <v>1835</v>
      </c>
      <c r="R20" s="142"/>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BA20" s="441">
        <f>IF(I20="","",IF(I20=0,0,1))</f>
        <v>0</v>
      </c>
    </row>
    <row r="21" spans="1:56" s="90" customFormat="1" ht="12" customHeight="1" x14ac:dyDescent="0.15">
      <c r="A21" s="142" t="s">
        <v>2478</v>
      </c>
      <c r="B21" s="142" t="s">
        <v>2196</v>
      </c>
      <c r="C21" s="142" t="s">
        <v>2197</v>
      </c>
      <c r="D21" s="142" t="s">
        <v>2156</v>
      </c>
      <c r="E21" s="142" t="s">
        <v>1813</v>
      </c>
      <c r="F21" s="143">
        <v>41042</v>
      </c>
      <c r="G21" s="144">
        <v>20000</v>
      </c>
      <c r="H21" s="145">
        <v>7</v>
      </c>
      <c r="I21" s="145">
        <v>0</v>
      </c>
      <c r="J21" s="145">
        <v>1</v>
      </c>
      <c r="K21" s="145">
        <v>4</v>
      </c>
      <c r="L21" s="146">
        <f>6000+6000+15000+554+3700+4500+137</f>
        <v>35891</v>
      </c>
      <c r="M21" s="146">
        <f>IF(H21="","",L21/H21)</f>
        <v>5127.2857142857147</v>
      </c>
      <c r="N21" s="331">
        <f>IF(H21="","--",I21/H21)</f>
        <v>0</v>
      </c>
      <c r="O21" s="331">
        <f>IF(H21="","--",SUM(I21:K21)/H21)</f>
        <v>0.7142857142857143</v>
      </c>
      <c r="P21" s="147" t="s">
        <v>5731</v>
      </c>
      <c r="Q21" s="147" t="s">
        <v>344</v>
      </c>
      <c r="R21" s="142" t="s">
        <v>2402</v>
      </c>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BA21" s="441">
        <f>IF(I21="","",IF(I21=0,0,1))</f>
        <v>0</v>
      </c>
    </row>
    <row r="22" spans="1:56" s="90" customFormat="1" ht="12" customHeight="1" x14ac:dyDescent="0.15">
      <c r="A22" s="142" t="s">
        <v>2228</v>
      </c>
      <c r="B22" s="142" t="s">
        <v>2193</v>
      </c>
      <c r="C22" s="142" t="s">
        <v>2194</v>
      </c>
      <c r="D22" s="142" t="s">
        <v>2195</v>
      </c>
      <c r="E22" s="142" t="s">
        <v>1771</v>
      </c>
      <c r="F22" s="143">
        <v>41006</v>
      </c>
      <c r="G22" s="144"/>
      <c r="H22" s="145">
        <v>15</v>
      </c>
      <c r="I22" s="145">
        <v>0</v>
      </c>
      <c r="J22" s="145">
        <v>0</v>
      </c>
      <c r="K22" s="145">
        <v>2</v>
      </c>
      <c r="L22" s="146">
        <f>5235+61</f>
        <v>5296</v>
      </c>
      <c r="M22" s="146">
        <f t="shared" si="8"/>
        <v>353.06666666666666</v>
      </c>
      <c r="N22" s="331">
        <f t="shared" ref="N22" si="10">IF(H22="","--",I22/H22)</f>
        <v>0</v>
      </c>
      <c r="O22" s="331">
        <f t="shared" ref="O22" si="11">IF(H22="","--",SUM(I22:K22)/H22)</f>
        <v>0.13333333333333333</v>
      </c>
      <c r="P22" s="147" t="s">
        <v>5419</v>
      </c>
      <c r="Q22" s="147" t="s">
        <v>1893</v>
      </c>
      <c r="R22" s="142" t="s">
        <v>1634</v>
      </c>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BA22" s="441">
        <f t="shared" si="9"/>
        <v>0</v>
      </c>
    </row>
    <row r="23" spans="1:56" s="90" customFormat="1" ht="12" customHeight="1" x14ac:dyDescent="0.15">
      <c r="A23" s="129" t="s">
        <v>3427</v>
      </c>
      <c r="B23" s="51" t="s">
        <v>2146</v>
      </c>
      <c r="C23" s="51" t="s">
        <v>3428</v>
      </c>
      <c r="D23" s="51" t="s">
        <v>1271</v>
      </c>
      <c r="E23" s="51" t="s">
        <v>3429</v>
      </c>
      <c r="F23" s="91">
        <v>41016</v>
      </c>
      <c r="G23" s="92"/>
      <c r="H23" s="93"/>
      <c r="I23" s="93"/>
      <c r="J23" s="93"/>
      <c r="K23" s="93"/>
      <c r="L23" s="86"/>
      <c r="M23" s="119"/>
      <c r="N23" s="333"/>
      <c r="O23" s="333"/>
      <c r="P23" s="349" t="s">
        <v>5644</v>
      </c>
      <c r="Q23" s="349"/>
      <c r="R23" s="349"/>
      <c r="S23" s="55"/>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13"/>
      <c r="BA23" s="441" t="str">
        <f>IF(I23="","",IF(I23=0,0,1))</f>
        <v/>
      </c>
    </row>
    <row r="24" spans="1:56" ht="12" customHeight="1" x14ac:dyDescent="0.15">
      <c r="M24" s="119"/>
      <c r="N24" s="64"/>
      <c r="O24" s="64"/>
      <c r="S24" s="13"/>
      <c r="T24" s="13"/>
      <c r="BA24" s="141" t="str">
        <f t="shared" si="3"/>
        <v/>
      </c>
    </row>
    <row r="25" spans="1:56" ht="12" customHeight="1" x14ac:dyDescent="0.15">
      <c r="A25" s="110" t="s">
        <v>417</v>
      </c>
      <c r="G25" s="96"/>
      <c r="H25" s="103"/>
      <c r="I25" s="103"/>
      <c r="J25" s="103"/>
      <c r="K25" s="103"/>
      <c r="L25" s="96"/>
      <c r="M25" s="119"/>
      <c r="N25" s="64"/>
      <c r="O25" s="64"/>
      <c r="P25" s="149"/>
      <c r="Q25" s="149"/>
      <c r="S25" s="13"/>
      <c r="T25" s="13"/>
      <c r="BA25" s="141" t="str">
        <f t="shared" si="3"/>
        <v/>
      </c>
    </row>
    <row r="26" spans="1:56" s="140" customFormat="1" ht="12" customHeight="1" x14ac:dyDescent="0.15">
      <c r="A26" s="58" t="s">
        <v>2172</v>
      </c>
      <c r="B26" s="58" t="s">
        <v>29</v>
      </c>
      <c r="C26" s="58" t="s">
        <v>1791</v>
      </c>
      <c r="D26" s="58" t="s">
        <v>1418</v>
      </c>
      <c r="E26" s="58" t="s">
        <v>1457</v>
      </c>
      <c r="F26" s="137">
        <v>41021</v>
      </c>
      <c r="G26" s="138">
        <v>22000</v>
      </c>
      <c r="H26" s="139">
        <v>20</v>
      </c>
      <c r="I26" s="139">
        <v>6</v>
      </c>
      <c r="J26" s="139">
        <v>4</v>
      </c>
      <c r="K26" s="139">
        <v>2</v>
      </c>
      <c r="L26" s="191">
        <f>27030+1920+700</f>
        <v>29650</v>
      </c>
      <c r="M26" s="191">
        <f>IF(H26="","",L26/H26)</f>
        <v>1482.5</v>
      </c>
      <c r="N26" s="330">
        <f>IF(H26="","--",I26/H26)</f>
        <v>0.3</v>
      </c>
      <c r="O26" s="330">
        <f>IF(H26="","--",SUM(I26:K26)/H26)</f>
        <v>0.6</v>
      </c>
      <c r="P26" s="56" t="s">
        <v>5666</v>
      </c>
      <c r="Q26" s="56" t="s">
        <v>1509</v>
      </c>
      <c r="R26" s="58" t="s">
        <v>2126</v>
      </c>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BA26" s="441">
        <f>IF(I26="","",IF(I26=0,0,1))</f>
        <v>1</v>
      </c>
      <c r="BD26" s="141"/>
    </row>
    <row r="27" spans="1:56" s="90" customFormat="1" ht="12" customHeight="1" x14ac:dyDescent="0.15">
      <c r="A27" s="129"/>
      <c r="B27" s="51"/>
      <c r="C27" s="51"/>
      <c r="D27" s="51"/>
      <c r="E27" s="51"/>
      <c r="F27" s="85"/>
      <c r="G27" s="86"/>
      <c r="H27" s="87"/>
      <c r="I27" s="87"/>
      <c r="J27" s="87"/>
      <c r="K27" s="87"/>
      <c r="L27" s="86"/>
      <c r="M27" s="119"/>
      <c r="N27" s="333"/>
      <c r="O27" s="333"/>
      <c r="P27" s="89"/>
      <c r="Q27" s="89"/>
      <c r="R27" s="89"/>
      <c r="S27" s="55"/>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13"/>
      <c r="BA27" s="441" t="str">
        <f t="shared" si="3"/>
        <v/>
      </c>
    </row>
    <row r="28" spans="1:56" ht="12" customHeight="1" x14ac:dyDescent="0.15">
      <c r="A28" s="110" t="s">
        <v>1699</v>
      </c>
      <c r="G28" s="96"/>
      <c r="H28" s="103"/>
      <c r="I28" s="103"/>
      <c r="J28" s="103"/>
      <c r="K28" s="103"/>
      <c r="L28" s="100"/>
      <c r="M28" s="100"/>
      <c r="N28" s="334"/>
      <c r="O28" s="334"/>
      <c r="P28" s="149"/>
      <c r="Q28" s="149"/>
      <c r="S28" s="13"/>
      <c r="T28" s="13"/>
      <c r="BA28" s="441" t="str">
        <f t="shared" si="3"/>
        <v/>
      </c>
    </row>
    <row r="29" spans="1:56" s="90" customFormat="1" ht="12" customHeight="1" x14ac:dyDescent="0.15">
      <c r="A29" s="51" t="s">
        <v>1826</v>
      </c>
      <c r="B29" s="51" t="s">
        <v>29</v>
      </c>
      <c r="C29" s="51" t="s">
        <v>2149</v>
      </c>
      <c r="D29" s="51" t="s">
        <v>2150</v>
      </c>
      <c r="E29" s="51" t="s">
        <v>1775</v>
      </c>
      <c r="F29" s="85">
        <v>40964</v>
      </c>
      <c r="G29" s="86">
        <v>3500</v>
      </c>
      <c r="H29" s="87"/>
      <c r="I29" s="87"/>
      <c r="J29" s="87"/>
      <c r="K29" s="87"/>
      <c r="L29" s="86"/>
      <c r="M29" s="119" t="str">
        <f>IF(H29="","",L29/H29)</f>
        <v/>
      </c>
      <c r="N29" s="333" t="str">
        <f>IF(H29="","--",I29/H29)</f>
        <v>--</v>
      </c>
      <c r="O29" s="333" t="str">
        <f>IF(H29="","--",SUM(I29:K29)/H29)</f>
        <v>--</v>
      </c>
      <c r="P29" s="89" t="s">
        <v>4488</v>
      </c>
      <c r="Q29" s="89"/>
      <c r="R29" s="89" t="s">
        <v>1912</v>
      </c>
      <c r="S29" s="55"/>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13"/>
      <c r="BA29" s="441" t="str">
        <f>IF(I29="","",IF(I29=0,0,1))</f>
        <v/>
      </c>
    </row>
    <row r="30" spans="1:56" s="140" customFormat="1" ht="12" customHeight="1" x14ac:dyDescent="0.15">
      <c r="A30" s="58" t="s">
        <v>2164</v>
      </c>
      <c r="B30" s="58" t="s">
        <v>2165</v>
      </c>
      <c r="C30" s="58" t="s">
        <v>1860</v>
      </c>
      <c r="D30" s="58" t="s">
        <v>1861</v>
      </c>
      <c r="E30" s="58" t="s">
        <v>1859</v>
      </c>
      <c r="F30" s="137">
        <v>40994</v>
      </c>
      <c r="G30" s="138"/>
      <c r="H30" s="139">
        <v>11</v>
      </c>
      <c r="I30" s="139">
        <v>3</v>
      </c>
      <c r="J30" s="139">
        <v>1</v>
      </c>
      <c r="K30" s="139">
        <v>2</v>
      </c>
      <c r="L30" s="191">
        <f>3762+19980+3663+850+24240+21888+750+8400+1047+1884+500</f>
        <v>86964</v>
      </c>
      <c r="M30" s="191">
        <f>IF(H30="","",L30/H30)</f>
        <v>7905.818181818182</v>
      </c>
      <c r="N30" s="330">
        <f>IF(H30="","--",I30/H30)</f>
        <v>0.27272727272727271</v>
      </c>
      <c r="O30" s="330">
        <f>IF(H30="","--",SUM(I30:K30)/H30)</f>
        <v>0.54545454545454541</v>
      </c>
      <c r="P30" s="56" t="s">
        <v>5041</v>
      </c>
      <c r="Q30" s="56" t="s">
        <v>1270</v>
      </c>
      <c r="R30" s="58"/>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BA30" s="441">
        <f>IF(I30="","",IF(I30=0,0,1))</f>
        <v>1</v>
      </c>
      <c r="BD30" s="141"/>
    </row>
    <row r="31" spans="1:56" s="140" customFormat="1" ht="12" customHeight="1" x14ac:dyDescent="0.15">
      <c r="A31" s="58" t="s">
        <v>2343</v>
      </c>
      <c r="B31" s="58" t="s">
        <v>1895</v>
      </c>
      <c r="C31" s="58" t="s">
        <v>1877</v>
      </c>
      <c r="D31" s="58" t="s">
        <v>792</v>
      </c>
      <c r="E31" s="58" t="s">
        <v>1878</v>
      </c>
      <c r="F31" s="137">
        <v>41024</v>
      </c>
      <c r="G31" s="138"/>
      <c r="H31" s="139">
        <v>14</v>
      </c>
      <c r="I31" s="139">
        <v>2</v>
      </c>
      <c r="J31" s="139">
        <v>3</v>
      </c>
      <c r="K31" s="139">
        <v>4</v>
      </c>
      <c r="L31" s="191">
        <f>250+2508+570+627+2600+7800+1430+3120+1690+10140+0+0+5400+3000</f>
        <v>39135</v>
      </c>
      <c r="M31" s="191">
        <f>IF(H31="","",L31/H31)</f>
        <v>2795.3571428571427</v>
      </c>
      <c r="N31" s="330">
        <f>IF(H31="","--",I31/H31)</f>
        <v>0.14285714285714285</v>
      </c>
      <c r="O31" s="330">
        <f>IF(H31="","--",SUM(I31:K31)/H31)</f>
        <v>0.6428571428571429</v>
      </c>
      <c r="P31" s="56" t="s">
        <v>5230</v>
      </c>
      <c r="Q31" s="56" t="s">
        <v>1835</v>
      </c>
      <c r="R31" s="58"/>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BA31" s="441">
        <f>IF(I31="","",IF(I31=0,0,1))</f>
        <v>1</v>
      </c>
      <c r="BD31" s="141"/>
    </row>
    <row r="32" spans="1:56" s="140" customFormat="1" ht="12" customHeight="1" x14ac:dyDescent="0.15">
      <c r="A32" s="58" t="s">
        <v>2151</v>
      </c>
      <c r="B32" s="58" t="s">
        <v>1895</v>
      </c>
      <c r="C32" s="58" t="s">
        <v>1879</v>
      </c>
      <c r="D32" s="58" t="s">
        <v>1880</v>
      </c>
      <c r="E32" s="58" t="s">
        <v>2516</v>
      </c>
      <c r="F32" s="137">
        <v>40965</v>
      </c>
      <c r="G32" s="138"/>
      <c r="H32" s="139">
        <v>19</v>
      </c>
      <c r="I32" s="139">
        <v>2</v>
      </c>
      <c r="J32" s="139">
        <v>2</v>
      </c>
      <c r="K32" s="139">
        <v>2</v>
      </c>
      <c r="L32" s="191">
        <f>500+500+930+930+500+1260+250+1500+999+4070+999+8400+19980+14280+1260+4620+200+1260+19980</f>
        <v>82418</v>
      </c>
      <c r="M32" s="191">
        <f>IF(H32="","",L32/H32)</f>
        <v>4337.7894736842109</v>
      </c>
      <c r="N32" s="330">
        <f>IF(H32="","--",I32/H32)</f>
        <v>0.10526315789473684</v>
      </c>
      <c r="O32" s="330">
        <f>IF(H32="","--",SUM(I32:K32)/H32)</f>
        <v>0.31578947368421051</v>
      </c>
      <c r="P32" s="56" t="s">
        <v>5198</v>
      </c>
      <c r="Q32" s="56" t="s">
        <v>1311</v>
      </c>
      <c r="R32" s="58" t="s">
        <v>2517</v>
      </c>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BA32" s="441">
        <f>IF(I32="","",IF(I32=0,0,1))</f>
        <v>1</v>
      </c>
      <c r="BD32" s="141"/>
    </row>
    <row r="33" spans="1:56" s="90" customFormat="1" ht="12" customHeight="1" x14ac:dyDescent="0.15">
      <c r="A33" s="129"/>
      <c r="B33" s="51"/>
      <c r="C33" s="51"/>
      <c r="D33" s="51"/>
      <c r="E33" s="51"/>
      <c r="F33" s="85"/>
      <c r="G33" s="86"/>
      <c r="H33" s="87"/>
      <c r="I33" s="87"/>
      <c r="J33" s="87"/>
      <c r="K33" s="87"/>
      <c r="L33" s="86"/>
      <c r="M33" s="119"/>
      <c r="N33" s="333"/>
      <c r="O33" s="333"/>
      <c r="P33" s="89"/>
      <c r="Q33" s="89"/>
      <c r="R33" s="89"/>
      <c r="S33" s="55"/>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13"/>
      <c r="BA33" s="441" t="str">
        <f t="shared" si="3"/>
        <v/>
      </c>
    </row>
    <row r="34" spans="1:56" ht="12" customHeight="1" x14ac:dyDescent="0.15">
      <c r="A34" s="110" t="s">
        <v>1698</v>
      </c>
      <c r="G34" s="96"/>
      <c r="H34" s="103"/>
      <c r="I34" s="103"/>
      <c r="J34" s="103"/>
      <c r="K34" s="103"/>
      <c r="L34" s="100"/>
      <c r="M34" s="100"/>
      <c r="N34" s="334"/>
      <c r="O34" s="334"/>
      <c r="P34" s="149"/>
      <c r="Q34" s="149"/>
      <c r="S34" s="13"/>
      <c r="T34" s="13"/>
      <c r="BA34" s="441" t="str">
        <f t="shared" si="3"/>
        <v/>
      </c>
    </row>
    <row r="35" spans="1:56" s="90" customFormat="1" ht="12" customHeight="1" x14ac:dyDescent="0.15">
      <c r="A35" s="142" t="s">
        <v>2161</v>
      </c>
      <c r="B35" s="142" t="s">
        <v>29</v>
      </c>
      <c r="C35" s="142" t="s">
        <v>2162</v>
      </c>
      <c r="D35" s="142" t="s">
        <v>2163</v>
      </c>
      <c r="E35" s="142" t="s">
        <v>1775</v>
      </c>
      <c r="F35" s="143">
        <v>41005</v>
      </c>
      <c r="G35" s="144"/>
      <c r="H35" s="145">
        <v>2</v>
      </c>
      <c r="I35" s="145">
        <v>0</v>
      </c>
      <c r="J35" s="145">
        <v>0</v>
      </c>
      <c r="K35" s="145">
        <v>0</v>
      </c>
      <c r="L35" s="146">
        <f>855+0</f>
        <v>855</v>
      </c>
      <c r="M35" s="146">
        <f t="shared" ref="M35:M37" si="12">IF(H35="","",L35/H35)</f>
        <v>427.5</v>
      </c>
      <c r="N35" s="331">
        <f t="shared" ref="N35:N37" si="13">IF(H35="","--",I35/H35)</f>
        <v>0</v>
      </c>
      <c r="O35" s="331">
        <f t="shared" ref="O35:O37" si="14">IF(H35="","--",SUM(I35:K35)/H35)</f>
        <v>0</v>
      </c>
      <c r="P35" s="147" t="s">
        <v>3488</v>
      </c>
      <c r="Q35" s="147" t="s">
        <v>1270</v>
      </c>
      <c r="R35" s="142" t="s">
        <v>1792</v>
      </c>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BA35" s="441">
        <f t="shared" ref="BA35:BA37" si="15">IF(I35="","",IF(I35=0,0,1))</f>
        <v>0</v>
      </c>
    </row>
    <row r="36" spans="1:56" s="90" customFormat="1" ht="12" customHeight="1" x14ac:dyDescent="0.15">
      <c r="A36" s="142" t="s">
        <v>2152</v>
      </c>
      <c r="B36" s="142" t="s">
        <v>3157</v>
      </c>
      <c r="C36" s="142" t="s">
        <v>2153</v>
      </c>
      <c r="D36" s="142" t="s">
        <v>2148</v>
      </c>
      <c r="E36" s="142" t="s">
        <v>1894</v>
      </c>
      <c r="F36" s="143">
        <v>41036</v>
      </c>
      <c r="G36" s="144"/>
      <c r="H36" s="145">
        <v>2</v>
      </c>
      <c r="I36" s="145">
        <v>0</v>
      </c>
      <c r="J36" s="145">
        <v>0</v>
      </c>
      <c r="K36" s="145">
        <v>0</v>
      </c>
      <c r="L36" s="146">
        <f>100+496</f>
        <v>596</v>
      </c>
      <c r="M36" s="146">
        <f t="shared" si="12"/>
        <v>298</v>
      </c>
      <c r="N36" s="331">
        <f t="shared" si="13"/>
        <v>0</v>
      </c>
      <c r="O36" s="331">
        <f t="shared" si="14"/>
        <v>0</v>
      </c>
      <c r="P36" s="147" t="s">
        <v>3637</v>
      </c>
      <c r="Q36" s="147" t="s">
        <v>1893</v>
      </c>
      <c r="R36" s="142" t="s">
        <v>1632</v>
      </c>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BA36" s="441">
        <f t="shared" si="15"/>
        <v>0</v>
      </c>
    </row>
    <row r="37" spans="1:56" s="140" customFormat="1" ht="12" customHeight="1" x14ac:dyDescent="0.15">
      <c r="A37" s="58" t="s">
        <v>2168</v>
      </c>
      <c r="B37" s="58" t="s">
        <v>124</v>
      </c>
      <c r="C37" s="58" t="s">
        <v>1862</v>
      </c>
      <c r="D37" s="58" t="s">
        <v>1290</v>
      </c>
      <c r="E37" s="58" t="s">
        <v>1863</v>
      </c>
      <c r="F37" s="137">
        <v>40977</v>
      </c>
      <c r="G37" s="138"/>
      <c r="H37" s="139">
        <v>7</v>
      </c>
      <c r="I37" s="139">
        <v>1</v>
      </c>
      <c r="J37" s="139">
        <v>0</v>
      </c>
      <c r="K37" s="139">
        <v>2</v>
      </c>
      <c r="L37" s="191">
        <f>0+2233+0+2860+16302+0+0</f>
        <v>21395</v>
      </c>
      <c r="M37" s="191">
        <f t="shared" si="12"/>
        <v>3056.4285714285716</v>
      </c>
      <c r="N37" s="330">
        <f t="shared" si="13"/>
        <v>0.14285714285714285</v>
      </c>
      <c r="O37" s="330">
        <f t="shared" si="14"/>
        <v>0.42857142857142855</v>
      </c>
      <c r="P37" s="56" t="s">
        <v>3596</v>
      </c>
      <c r="Q37" s="56" t="s">
        <v>141</v>
      </c>
      <c r="R37" s="58" t="s">
        <v>2081</v>
      </c>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BA37" s="441">
        <f t="shared" si="15"/>
        <v>1</v>
      </c>
      <c r="BD37" s="141"/>
    </row>
    <row r="38" spans="1:56" s="90" customFormat="1" ht="12" customHeight="1" x14ac:dyDescent="0.15">
      <c r="A38" s="142" t="s">
        <v>2277</v>
      </c>
      <c r="B38" s="142" t="s">
        <v>384</v>
      </c>
      <c r="C38" s="142" t="s">
        <v>1881</v>
      </c>
      <c r="D38" s="142" t="s">
        <v>904</v>
      </c>
      <c r="E38" s="142" t="s">
        <v>3323</v>
      </c>
      <c r="F38" s="143">
        <v>41026</v>
      </c>
      <c r="G38" s="144"/>
      <c r="H38" s="145">
        <v>7</v>
      </c>
      <c r="I38" s="145">
        <v>0</v>
      </c>
      <c r="J38" s="145">
        <v>1</v>
      </c>
      <c r="K38" s="145">
        <v>1</v>
      </c>
      <c r="L38" s="146">
        <f>405+675+1100+2600+125+170+70</f>
        <v>5145</v>
      </c>
      <c r="M38" s="146">
        <f t="shared" ref="M38:M39" si="16">IF(H38="","",L38/H38)</f>
        <v>735</v>
      </c>
      <c r="N38" s="331">
        <f t="shared" ref="N38:N39" si="17">IF(H38="","--",I38/H38)</f>
        <v>0</v>
      </c>
      <c r="O38" s="331">
        <f t="shared" ref="O38:O39" si="18">IF(H38="","--",SUM(I38:K38)/H38)</f>
        <v>0.2857142857142857</v>
      </c>
      <c r="P38" s="147" t="s">
        <v>3603</v>
      </c>
      <c r="Q38" s="147" t="s">
        <v>3290</v>
      </c>
      <c r="R38" s="142"/>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BA38" s="441">
        <f t="shared" ref="BA38:BA39" si="19">IF(I38="","",IF(I38=0,0,1))</f>
        <v>0</v>
      </c>
    </row>
    <row r="39" spans="1:56" s="90" customFormat="1" ht="12" customHeight="1" x14ac:dyDescent="0.15">
      <c r="A39" s="142" t="s">
        <v>2226</v>
      </c>
      <c r="B39" s="142" t="s">
        <v>1988</v>
      </c>
      <c r="C39" s="142" t="s">
        <v>2185</v>
      </c>
      <c r="D39" s="142" t="s">
        <v>2186</v>
      </c>
      <c r="E39" s="142" t="s">
        <v>1335</v>
      </c>
      <c r="F39" s="143">
        <v>40954</v>
      </c>
      <c r="G39" s="144">
        <v>19000</v>
      </c>
      <c r="H39" s="145">
        <v>7</v>
      </c>
      <c r="I39" s="145">
        <v>0</v>
      </c>
      <c r="J39" s="145">
        <v>0</v>
      </c>
      <c r="K39" s="145">
        <v>0</v>
      </c>
      <c r="L39" s="146">
        <f>500+125+300+125+100+100+100</f>
        <v>1350</v>
      </c>
      <c r="M39" s="146">
        <f t="shared" si="16"/>
        <v>192.85714285714286</v>
      </c>
      <c r="N39" s="331">
        <f t="shared" si="17"/>
        <v>0</v>
      </c>
      <c r="O39" s="331">
        <f t="shared" si="18"/>
        <v>0</v>
      </c>
      <c r="P39" s="147" t="s">
        <v>3592</v>
      </c>
      <c r="Q39" s="147" t="s">
        <v>3424</v>
      </c>
      <c r="R39" s="142" t="s">
        <v>2080</v>
      </c>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BA39" s="441">
        <f t="shared" si="19"/>
        <v>0</v>
      </c>
    </row>
    <row r="40" spans="1:56" s="90" customFormat="1" ht="12" customHeight="1" x14ac:dyDescent="0.15">
      <c r="A40" s="129"/>
      <c r="B40" s="51"/>
      <c r="C40" s="51"/>
      <c r="D40" s="51"/>
      <c r="E40" s="51"/>
      <c r="F40" s="85"/>
      <c r="G40" s="86"/>
      <c r="H40" s="348"/>
      <c r="I40" s="348"/>
      <c r="J40" s="348"/>
      <c r="K40" s="348"/>
      <c r="L40" s="86"/>
      <c r="M40" s="119"/>
      <c r="N40" s="333"/>
      <c r="O40" s="333"/>
      <c r="P40" s="349"/>
      <c r="Q40" s="349"/>
      <c r="R40" s="349"/>
      <c r="S40" s="55"/>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13"/>
      <c r="BA40" s="441" t="str">
        <f t="shared" si="3"/>
        <v/>
      </c>
    </row>
    <row r="41" spans="1:56" ht="12" customHeight="1" x14ac:dyDescent="0.15">
      <c r="A41" s="110" t="s">
        <v>1696</v>
      </c>
      <c r="G41" s="96"/>
      <c r="H41" s="103"/>
      <c r="I41" s="103"/>
      <c r="J41" s="103"/>
      <c r="K41" s="103"/>
      <c r="L41" s="100"/>
      <c r="M41" s="100"/>
      <c r="N41" s="334"/>
      <c r="O41" s="334"/>
      <c r="P41" s="149"/>
      <c r="Q41" s="149"/>
      <c r="S41" s="13"/>
      <c r="T41" s="13"/>
      <c r="BA41" s="441" t="str">
        <f t="shared" si="3"/>
        <v/>
      </c>
    </row>
    <row r="42" spans="1:56" s="90" customFormat="1" ht="12" customHeight="1" x14ac:dyDescent="0.15">
      <c r="A42" s="51"/>
      <c r="B42" s="51"/>
      <c r="C42" s="51"/>
      <c r="D42" s="51"/>
      <c r="E42" s="51"/>
      <c r="F42" s="85"/>
      <c r="G42" s="86"/>
      <c r="H42" s="348"/>
      <c r="I42" s="348"/>
      <c r="J42" s="348"/>
      <c r="K42" s="348"/>
      <c r="L42" s="119"/>
      <c r="M42" s="119"/>
      <c r="N42" s="54"/>
      <c r="O42" s="54"/>
      <c r="P42" s="349"/>
      <c r="Q42" s="349"/>
      <c r="R42" s="51"/>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13"/>
      <c r="BA42" s="141" t="str">
        <f>IF(I42="","",IF(I42=0,0,1))</f>
        <v/>
      </c>
    </row>
    <row r="43" spans="1:56" ht="12" customHeight="1" x14ac:dyDescent="0.15">
      <c r="A43" s="110" t="s">
        <v>1697</v>
      </c>
      <c r="G43" s="96"/>
      <c r="H43" s="103"/>
      <c r="I43" s="103"/>
      <c r="J43" s="103"/>
      <c r="K43" s="103"/>
      <c r="L43" s="100"/>
      <c r="M43" s="100"/>
      <c r="N43" s="100"/>
      <c r="O43" s="100"/>
      <c r="P43" s="149"/>
      <c r="Q43" s="149"/>
      <c r="S43" s="13"/>
      <c r="T43" s="13"/>
      <c r="BA43" s="141" t="str">
        <f>IF(I43="","",IF(I43=0,0,1))</f>
        <v/>
      </c>
    </row>
    <row r="44" spans="1:56" s="90" customFormat="1" ht="12" customHeight="1" x14ac:dyDescent="0.15">
      <c r="A44" s="51" t="s">
        <v>2158</v>
      </c>
      <c r="B44" s="51" t="s">
        <v>1989</v>
      </c>
      <c r="C44" s="51" t="s">
        <v>2159</v>
      </c>
      <c r="D44" s="51" t="s">
        <v>2160</v>
      </c>
      <c r="E44" s="51" t="s">
        <v>1796</v>
      </c>
      <c r="F44" s="85">
        <v>40996</v>
      </c>
      <c r="G44" s="86"/>
      <c r="H44" s="87"/>
      <c r="I44" s="87"/>
      <c r="J44" s="87"/>
      <c r="K44" s="87"/>
      <c r="L44" s="86" t="s">
        <v>18</v>
      </c>
      <c r="M44" s="119" t="str">
        <f>IF(H44="","",L44/H44)</f>
        <v/>
      </c>
      <c r="N44" s="333" t="str">
        <f>IF(H44="","--",I44/H44)</f>
        <v>--</v>
      </c>
      <c r="O44" s="333" t="str">
        <f>IF(H44="","--",SUM(I44:K44)/H44)</f>
        <v>--</v>
      </c>
      <c r="P44" s="89" t="s">
        <v>3439</v>
      </c>
      <c r="Q44" s="89" t="s">
        <v>1270</v>
      </c>
      <c r="R44" s="89"/>
      <c r="S44" s="55"/>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13"/>
      <c r="BA44" s="441" t="str">
        <f>IF(I44="","",IF(I44=0,0,1))</f>
        <v/>
      </c>
    </row>
    <row r="45" spans="1:56" s="140" customFormat="1" ht="12" customHeight="1" x14ac:dyDescent="0.15">
      <c r="A45" s="58" t="s">
        <v>2327</v>
      </c>
      <c r="B45" s="58" t="s">
        <v>2272</v>
      </c>
      <c r="C45" s="58" t="s">
        <v>2328</v>
      </c>
      <c r="D45" s="58" t="s">
        <v>2008</v>
      </c>
      <c r="E45" s="58" t="s">
        <v>2329</v>
      </c>
      <c r="F45" s="137">
        <v>41025</v>
      </c>
      <c r="G45" s="138"/>
      <c r="H45" s="139">
        <v>1</v>
      </c>
      <c r="I45" s="139">
        <v>1</v>
      </c>
      <c r="J45" s="139">
        <v>0</v>
      </c>
      <c r="K45" s="139">
        <v>0</v>
      </c>
      <c r="L45" s="191">
        <v>25500</v>
      </c>
      <c r="M45" s="191">
        <f>IF(H45="","",L45/H45)</f>
        <v>25500</v>
      </c>
      <c r="N45" s="330">
        <f>IF(H45="","--",I45/H45)</f>
        <v>1</v>
      </c>
      <c r="O45" s="330">
        <f>IF(H45="","--",SUM(I45:K45)/H45)</f>
        <v>1</v>
      </c>
      <c r="P45" s="56" t="s">
        <v>3465</v>
      </c>
      <c r="Q45" s="56" t="s">
        <v>2514</v>
      </c>
      <c r="R45" s="58" t="s">
        <v>3301</v>
      </c>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BA45" s="441">
        <f>IF(I45="","",IF(I45=0,0,1))</f>
        <v>1</v>
      </c>
      <c r="BD45" s="141"/>
    </row>
    <row r="46" spans="1:56" s="90" customFormat="1" ht="12" customHeight="1" x14ac:dyDescent="0.15">
      <c r="A46" s="51"/>
      <c r="B46" s="51"/>
      <c r="C46" s="51"/>
      <c r="D46" s="51"/>
      <c r="E46" s="51"/>
      <c r="F46" s="85"/>
      <c r="G46" s="86"/>
      <c r="H46" s="87"/>
      <c r="I46" s="87"/>
      <c r="J46" s="87"/>
      <c r="K46" s="87"/>
      <c r="L46" s="86"/>
      <c r="M46" s="119"/>
      <c r="N46" s="54"/>
      <c r="O46" s="54"/>
      <c r="P46" s="89"/>
      <c r="Q46" s="89"/>
      <c r="R46" s="51"/>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13"/>
      <c r="BA46" s="441" t="str">
        <f t="shared" si="3"/>
        <v/>
      </c>
    </row>
    <row r="47" spans="1:56" ht="12" customHeight="1" x14ac:dyDescent="0.15">
      <c r="A47" s="110" t="s">
        <v>1789</v>
      </c>
      <c r="G47" s="96"/>
      <c r="H47" s="103"/>
      <c r="I47" s="103"/>
      <c r="J47" s="103"/>
      <c r="K47" s="103"/>
      <c r="L47" s="100"/>
      <c r="M47" s="119"/>
      <c r="N47" s="64"/>
      <c r="O47" s="64"/>
      <c r="P47" s="149"/>
      <c r="Q47" s="149"/>
      <c r="S47" s="13"/>
      <c r="T47" s="13"/>
      <c r="BA47" s="441" t="str">
        <f t="shared" si="3"/>
        <v/>
      </c>
    </row>
    <row r="48" spans="1:56" s="90" customFormat="1" ht="11.25" customHeight="1" x14ac:dyDescent="0.15">
      <c r="A48" s="51" t="s">
        <v>2020</v>
      </c>
      <c r="B48" s="51" t="s">
        <v>1988</v>
      </c>
      <c r="C48" s="51" t="s">
        <v>2147</v>
      </c>
      <c r="D48" s="51" t="s">
        <v>2148</v>
      </c>
      <c r="E48" s="51" t="s">
        <v>1770</v>
      </c>
      <c r="F48" s="85">
        <v>41006</v>
      </c>
      <c r="G48" s="86"/>
      <c r="H48" s="87"/>
      <c r="I48" s="87"/>
      <c r="J48" s="87"/>
      <c r="K48" s="87"/>
      <c r="L48" s="86"/>
      <c r="M48" s="119" t="str">
        <f>IF(H48="","",L48/H48)</f>
        <v/>
      </c>
      <c r="N48" s="333" t="str">
        <f>IF(H48="","--",I48/H48)</f>
        <v>--</v>
      </c>
      <c r="O48" s="333" t="str">
        <f>IF(H48="","--",SUM(I48:K48)/H48)</f>
        <v>--</v>
      </c>
      <c r="P48" s="89"/>
      <c r="Q48" s="89"/>
      <c r="R48" s="89" t="s">
        <v>2021</v>
      </c>
      <c r="S48" s="55"/>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13"/>
      <c r="BA48" s="441" t="str">
        <f t="shared" si="3"/>
        <v/>
      </c>
    </row>
    <row r="49" spans="1:56" s="90" customFormat="1" ht="12" customHeight="1" x14ac:dyDescent="0.15">
      <c r="A49" s="129" t="s">
        <v>2203</v>
      </c>
      <c r="B49" s="51" t="s">
        <v>1988</v>
      </c>
      <c r="C49" s="51" t="s">
        <v>1864</v>
      </c>
      <c r="D49" s="51" t="s">
        <v>1865</v>
      </c>
      <c r="E49" s="51" t="s">
        <v>1866</v>
      </c>
      <c r="F49" s="85">
        <v>40979</v>
      </c>
      <c r="G49" s="86"/>
      <c r="H49" s="87"/>
      <c r="I49" s="87"/>
      <c r="J49" s="87"/>
      <c r="K49" s="87"/>
      <c r="L49" s="86"/>
      <c r="M49" s="119" t="str">
        <f>IF(H49="","",L49/H49)</f>
        <v/>
      </c>
      <c r="N49" s="333" t="str">
        <f>IF(H49="","--",I49/H49)</f>
        <v>--</v>
      </c>
      <c r="O49" s="333" t="str">
        <f>IF(H49="","--",SUM(I49:K49)/H49)</f>
        <v>--</v>
      </c>
      <c r="P49" s="89"/>
      <c r="Q49" s="89"/>
      <c r="R49" s="89" t="s">
        <v>2079</v>
      </c>
      <c r="S49" s="55"/>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13"/>
      <c r="BA49" s="441" t="str">
        <f t="shared" si="3"/>
        <v/>
      </c>
    </row>
    <row r="50" spans="1:56" x14ac:dyDescent="0.15">
      <c r="BA50" s="441" t="str">
        <f t="shared" si="3"/>
        <v/>
      </c>
    </row>
    <row r="51" spans="1:56" s="90" customFormat="1" ht="12" customHeight="1" x14ac:dyDescent="0.15">
      <c r="A51" s="70"/>
      <c r="B51" s="70"/>
      <c r="C51" s="70"/>
      <c r="D51" s="70"/>
      <c r="E51" s="70"/>
      <c r="F51" s="91"/>
      <c r="G51" s="92"/>
      <c r="H51" s="93"/>
      <c r="I51" s="93"/>
      <c r="J51" s="93"/>
      <c r="K51" s="93"/>
      <c r="L51" s="92"/>
      <c r="M51" s="100"/>
      <c r="N51" s="334"/>
      <c r="O51" s="334"/>
      <c r="P51" s="95"/>
      <c r="Q51" s="95"/>
      <c r="R51" s="70"/>
      <c r="S51" s="55"/>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13"/>
      <c r="BA51" s="441" t="str">
        <f t="shared" si="3"/>
        <v/>
      </c>
    </row>
    <row r="52" spans="1:56" s="90" customFormat="1" ht="12" customHeight="1" x14ac:dyDescent="0.15">
      <c r="A52" s="110" t="s">
        <v>1850</v>
      </c>
      <c r="B52" s="6"/>
      <c r="C52" s="6"/>
      <c r="D52" s="6"/>
      <c r="E52" s="6"/>
      <c r="F52" s="101"/>
      <c r="G52" s="96"/>
      <c r="H52" s="103"/>
      <c r="I52" s="103"/>
      <c r="J52" s="103"/>
      <c r="K52" s="103"/>
      <c r="L52" s="100"/>
      <c r="M52" s="100"/>
      <c r="N52" s="334"/>
      <c r="O52" s="334"/>
      <c r="P52" s="149"/>
      <c r="Q52" s="149"/>
      <c r="R52" s="6"/>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13"/>
      <c r="BA52" s="441" t="str">
        <f t="shared" si="3"/>
        <v/>
      </c>
    </row>
    <row r="53" spans="1:56" s="140" customFormat="1" ht="12" customHeight="1" x14ac:dyDescent="0.15">
      <c r="A53" s="58" t="s">
        <v>1768</v>
      </c>
      <c r="B53" s="58" t="s">
        <v>1988</v>
      </c>
      <c r="C53" s="58" t="s">
        <v>1692</v>
      </c>
      <c r="D53" s="58" t="s">
        <v>1693</v>
      </c>
      <c r="E53" s="58" t="s">
        <v>1685</v>
      </c>
      <c r="F53" s="137">
        <v>41005</v>
      </c>
      <c r="G53" s="138"/>
      <c r="H53" s="139">
        <v>9</v>
      </c>
      <c r="I53" s="139">
        <v>2</v>
      </c>
      <c r="J53" s="139">
        <v>1</v>
      </c>
      <c r="K53" s="139">
        <v>0</v>
      </c>
      <c r="L53" s="191">
        <f>200+6200+1320+15000+500+2100+15750+200+999</f>
        <v>42269</v>
      </c>
      <c r="M53" s="191">
        <f>IF(H53="","",L53/H53)</f>
        <v>4696.5555555555557</v>
      </c>
      <c r="N53" s="330">
        <f>IF(H53="","--",I53/H53)</f>
        <v>0.22222222222222221</v>
      </c>
      <c r="O53" s="330">
        <f>IF(H53="","--",SUM(I53:K53)/H53)</f>
        <v>0.33333333333333331</v>
      </c>
      <c r="P53" s="56" t="s">
        <v>4128</v>
      </c>
      <c r="Q53" s="56"/>
      <c r="R53" s="58" t="s">
        <v>5026</v>
      </c>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BA53" s="441">
        <f>IF(I53="","",IF(I53=0,0,1))</f>
        <v>1</v>
      </c>
      <c r="BD53" s="141"/>
    </row>
    <row r="54" spans="1:56" s="140" customFormat="1" ht="12" customHeight="1" x14ac:dyDescent="0.15">
      <c r="A54" s="58" t="s">
        <v>2180</v>
      </c>
      <c r="B54" s="58" t="s">
        <v>28</v>
      </c>
      <c r="C54" s="58" t="s">
        <v>2181</v>
      </c>
      <c r="D54" s="58" t="s">
        <v>2182</v>
      </c>
      <c r="E54" s="58" t="s">
        <v>1774</v>
      </c>
      <c r="F54" s="137">
        <v>41011</v>
      </c>
      <c r="G54" s="138"/>
      <c r="H54" s="139">
        <v>13</v>
      </c>
      <c r="I54" s="139">
        <v>3</v>
      </c>
      <c r="J54" s="139">
        <v>1</v>
      </c>
      <c r="K54" s="139">
        <v>3</v>
      </c>
      <c r="L54" s="191">
        <f>3663+3663+6600+1770+19980+3894+1998+19980+1350+1770+21240+375</f>
        <v>86283</v>
      </c>
      <c r="M54" s="191">
        <f t="shared" ref="M54:M60" si="20">IF(H54="","",L54/H54)</f>
        <v>6637.1538461538457</v>
      </c>
      <c r="N54" s="330">
        <f t="shared" ref="N54:N60" si="21">IF(H54="","--",I54/H54)</f>
        <v>0.23076923076923078</v>
      </c>
      <c r="O54" s="330">
        <f t="shared" ref="O54:O60" si="22">IF(H54="","--",SUM(I54:K54)/H54)</f>
        <v>0.53846153846153844</v>
      </c>
      <c r="P54" s="56" t="s">
        <v>3344</v>
      </c>
      <c r="Q54" s="56"/>
      <c r="R54" s="58" t="s">
        <v>3347</v>
      </c>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BA54" s="441">
        <f t="shared" si="3"/>
        <v>1</v>
      </c>
      <c r="BD54" s="141"/>
    </row>
    <row r="55" spans="1:56" s="140" customFormat="1" ht="12" customHeight="1" x14ac:dyDescent="0.15">
      <c r="A55" s="58" t="s">
        <v>2401</v>
      </c>
      <c r="B55" s="58" t="s">
        <v>1400</v>
      </c>
      <c r="C55" s="58" t="s">
        <v>2191</v>
      </c>
      <c r="D55" s="58" t="s">
        <v>2192</v>
      </c>
      <c r="E55" s="58" t="s">
        <v>1335</v>
      </c>
      <c r="F55" s="137">
        <v>41040</v>
      </c>
      <c r="G55" s="138"/>
      <c r="H55" s="139">
        <v>12</v>
      </c>
      <c r="I55" s="139">
        <v>4</v>
      </c>
      <c r="J55" s="139">
        <v>4</v>
      </c>
      <c r="K55" s="139">
        <v>2</v>
      </c>
      <c r="L55" s="191">
        <f>30800+8250+60000+40000+7854+500+42840+14560+42600+15120+500</f>
        <v>263024</v>
      </c>
      <c r="M55" s="191">
        <f>IF(H55="","",L55/H55)</f>
        <v>21918.666666666668</v>
      </c>
      <c r="N55" s="330">
        <f>IF(H55="","--",I55/H55)</f>
        <v>0.33333333333333331</v>
      </c>
      <c r="O55" s="330">
        <f>IF(H55="","--",SUM(I55:K55)/H55)</f>
        <v>0.83333333333333337</v>
      </c>
      <c r="P55" s="56" t="s">
        <v>4725</v>
      </c>
      <c r="Q55" s="56"/>
      <c r="R55" s="58" t="s">
        <v>4727</v>
      </c>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BA55" s="441">
        <f>IF(I55="","",IF(I55=0,0,1))</f>
        <v>1</v>
      </c>
      <c r="BD55" s="141"/>
    </row>
    <row r="56" spans="1:56" s="90" customFormat="1" ht="12" customHeight="1" x14ac:dyDescent="0.15">
      <c r="A56" s="142" t="s">
        <v>1694</v>
      </c>
      <c r="B56" s="142" t="s">
        <v>1988</v>
      </c>
      <c r="C56" s="142" t="s">
        <v>27</v>
      </c>
      <c r="D56" s="142" t="s">
        <v>1006</v>
      </c>
      <c r="E56" s="142" t="s">
        <v>1685</v>
      </c>
      <c r="F56" s="143">
        <v>40949</v>
      </c>
      <c r="G56" s="144"/>
      <c r="H56" s="145">
        <v>6</v>
      </c>
      <c r="I56" s="145">
        <v>0</v>
      </c>
      <c r="J56" s="145">
        <v>3</v>
      </c>
      <c r="K56" s="145">
        <v>1</v>
      </c>
      <c r="L56" s="146">
        <f>250+2926+4180+3892+4200+250</f>
        <v>15698</v>
      </c>
      <c r="M56" s="146">
        <f t="shared" si="20"/>
        <v>2616.3333333333335</v>
      </c>
      <c r="N56" s="331">
        <f t="shared" si="21"/>
        <v>0</v>
      </c>
      <c r="O56" s="331">
        <f t="shared" si="22"/>
        <v>0.66666666666666663</v>
      </c>
      <c r="P56" s="147" t="s">
        <v>3344</v>
      </c>
      <c r="Q56" s="147"/>
      <c r="R56" s="142" t="s">
        <v>3446</v>
      </c>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BA56" s="441">
        <f t="shared" si="3"/>
        <v>0</v>
      </c>
    </row>
    <row r="57" spans="1:56" s="90" customFormat="1" ht="12" customHeight="1" x14ac:dyDescent="0.15">
      <c r="A57" s="142" t="s">
        <v>2154</v>
      </c>
      <c r="B57" s="142" t="s">
        <v>1895</v>
      </c>
      <c r="C57" s="142" t="s">
        <v>1536</v>
      </c>
      <c r="D57" s="142" t="s">
        <v>1541</v>
      </c>
      <c r="E57" s="142" t="s">
        <v>1535</v>
      </c>
      <c r="F57" s="143">
        <v>40967</v>
      </c>
      <c r="G57" s="144"/>
      <c r="H57" s="145">
        <v>6</v>
      </c>
      <c r="I57" s="145">
        <v>0</v>
      </c>
      <c r="J57" s="145">
        <v>1</v>
      </c>
      <c r="K57" s="145">
        <v>3</v>
      </c>
      <c r="L57" s="146">
        <f>8120+5698+870+5698+4466+1740</f>
        <v>26592</v>
      </c>
      <c r="M57" s="146">
        <f t="shared" si="20"/>
        <v>4432</v>
      </c>
      <c r="N57" s="331">
        <f t="shared" si="21"/>
        <v>0</v>
      </c>
      <c r="O57" s="331">
        <f t="shared" si="22"/>
        <v>0.66666666666666663</v>
      </c>
      <c r="P57" s="147" t="s">
        <v>3344</v>
      </c>
      <c r="Q57" s="147"/>
      <c r="R57" s="142" t="s">
        <v>3491</v>
      </c>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BA57" s="441">
        <f>IF(I57="","",IF(I57=0,0,1))</f>
        <v>0</v>
      </c>
    </row>
    <row r="58" spans="1:56" ht="12" customHeight="1" x14ac:dyDescent="0.15">
      <c r="A58" s="51" t="s">
        <v>2200</v>
      </c>
      <c r="B58" s="51" t="s">
        <v>29</v>
      </c>
      <c r="C58" s="51" t="s">
        <v>1856</v>
      </c>
      <c r="D58" s="51" t="s">
        <v>1857</v>
      </c>
      <c r="E58" s="51" t="s">
        <v>1858</v>
      </c>
      <c r="F58" s="85">
        <v>40982</v>
      </c>
      <c r="G58" s="86"/>
      <c r="H58" s="87"/>
      <c r="I58" s="87"/>
      <c r="J58" s="87"/>
      <c r="K58" s="87"/>
      <c r="L58" s="86"/>
      <c r="M58" s="119" t="str">
        <f t="shared" si="20"/>
        <v/>
      </c>
      <c r="N58" s="333" t="str">
        <f t="shared" si="21"/>
        <v>--</v>
      </c>
      <c r="O58" s="333" t="str">
        <f t="shared" si="22"/>
        <v>--</v>
      </c>
      <c r="P58" s="89" t="s">
        <v>2075</v>
      </c>
      <c r="Q58" s="89"/>
      <c r="R58" s="89" t="s">
        <v>2201</v>
      </c>
      <c r="BA58" s="441" t="str">
        <f t="shared" si="3"/>
        <v/>
      </c>
    </row>
    <row r="59" spans="1:56" s="90" customFormat="1" ht="12" customHeight="1" x14ac:dyDescent="0.15">
      <c r="A59" s="129" t="s">
        <v>3475</v>
      </c>
      <c r="B59" s="51" t="s">
        <v>384</v>
      </c>
      <c r="C59" s="51" t="s">
        <v>2187</v>
      </c>
      <c r="D59" s="51" t="s">
        <v>2188</v>
      </c>
      <c r="E59" s="51" t="s">
        <v>1335</v>
      </c>
      <c r="F59" s="85">
        <v>40967</v>
      </c>
      <c r="G59" s="86"/>
      <c r="H59" s="87"/>
      <c r="I59" s="87"/>
      <c r="J59" s="87"/>
      <c r="K59" s="87"/>
      <c r="L59" s="86"/>
      <c r="M59" s="119" t="str">
        <f t="shared" si="20"/>
        <v/>
      </c>
      <c r="N59" s="333" t="str">
        <f t="shared" si="21"/>
        <v>--</v>
      </c>
      <c r="O59" s="333" t="str">
        <f t="shared" si="22"/>
        <v>--</v>
      </c>
      <c r="P59" s="89" t="s">
        <v>2282</v>
      </c>
      <c r="Q59" s="89"/>
      <c r="R59" s="89" t="s">
        <v>3476</v>
      </c>
      <c r="S59" s="55"/>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13"/>
      <c r="BA59" s="441" t="str">
        <f t="shared" si="3"/>
        <v/>
      </c>
    </row>
    <row r="60" spans="1:56" s="90" customFormat="1" ht="12" customHeight="1" x14ac:dyDescent="0.15">
      <c r="A60" s="51" t="s">
        <v>1780</v>
      </c>
      <c r="B60" s="51" t="s">
        <v>28</v>
      </c>
      <c r="C60" s="51" t="s">
        <v>1781</v>
      </c>
      <c r="D60" s="51" t="s">
        <v>1108</v>
      </c>
      <c r="E60" s="51" t="s">
        <v>1782</v>
      </c>
      <c r="F60" s="85">
        <v>41015</v>
      </c>
      <c r="G60" s="86"/>
      <c r="H60" s="87"/>
      <c r="I60" s="87"/>
      <c r="J60" s="87"/>
      <c r="K60" s="87"/>
      <c r="L60" s="86"/>
      <c r="M60" s="119" t="str">
        <f t="shared" si="20"/>
        <v/>
      </c>
      <c r="N60" s="333" t="str">
        <f t="shared" si="21"/>
        <v>--</v>
      </c>
      <c r="O60" s="333" t="str">
        <f t="shared" si="22"/>
        <v>--</v>
      </c>
      <c r="P60" s="89" t="s">
        <v>3344</v>
      </c>
      <c r="Q60" s="89"/>
      <c r="R60" s="89" t="s">
        <v>3735</v>
      </c>
      <c r="S60" s="55"/>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13"/>
      <c r="BA60" s="441" t="str">
        <f>IF(I60="","",IF(I60=0,0,1))</f>
        <v/>
      </c>
    </row>
    <row r="61" spans="1:56" ht="12" customHeight="1" x14ac:dyDescent="0.15">
      <c r="A61" s="70"/>
      <c r="B61" s="70"/>
      <c r="C61" s="70"/>
      <c r="D61" s="70"/>
      <c r="E61" s="70"/>
      <c r="F61" s="91"/>
      <c r="G61" s="92"/>
      <c r="H61" s="93"/>
      <c r="I61" s="93"/>
      <c r="J61" s="93"/>
      <c r="K61" s="93"/>
      <c r="L61" s="92"/>
      <c r="M61" s="120"/>
      <c r="N61" s="64"/>
      <c r="O61" s="64"/>
      <c r="P61" s="95"/>
      <c r="Q61" s="95"/>
      <c r="R61" s="95"/>
      <c r="BA61" s="441" t="str">
        <f>IF(I61="","",IF(I61=0,0,1))</f>
        <v/>
      </c>
    </row>
    <row r="62" spans="1:56" ht="12" customHeight="1" x14ac:dyDescent="0.15">
      <c r="S62" s="13"/>
      <c r="T62" s="13"/>
      <c r="BA62" s="441">
        <f>SUM(BA3:BA61)</f>
        <v>25</v>
      </c>
    </row>
    <row r="63" spans="1:56" ht="12" customHeight="1" x14ac:dyDescent="0.15">
      <c r="S63" s="13"/>
      <c r="T63" s="13"/>
    </row>
    <row r="64" spans="1:56" ht="12" customHeight="1" x14ac:dyDescent="0.15">
      <c r="G64" s="11" t="s">
        <v>1573</v>
      </c>
      <c r="H64" s="75">
        <f>COUNT(L3:L63)</f>
        <v>34</v>
      </c>
      <c r="S64" s="13"/>
      <c r="T64" s="13"/>
    </row>
    <row r="65" spans="1:53" ht="12" customHeight="1" x14ac:dyDescent="0.15">
      <c r="G65" s="11" t="s">
        <v>1588</v>
      </c>
      <c r="H65" s="75">
        <f>BA62</f>
        <v>25</v>
      </c>
      <c r="S65" s="13"/>
      <c r="T65" s="13"/>
    </row>
    <row r="66" spans="1:53" ht="12" customHeight="1" x14ac:dyDescent="0.15">
      <c r="C66" s="110"/>
      <c r="G66" s="11" t="s">
        <v>1589</v>
      </c>
      <c r="H66" s="124">
        <f>H65/H64</f>
        <v>0.73529411764705888</v>
      </c>
      <c r="S66" s="13"/>
      <c r="T66" s="13"/>
    </row>
    <row r="67" spans="1:53" ht="12" customHeight="1" x14ac:dyDescent="0.15">
      <c r="S67" s="13"/>
      <c r="T67" s="13"/>
    </row>
    <row r="68" spans="1:53" ht="12" customHeight="1" x14ac:dyDescent="0.15">
      <c r="F68" s="91"/>
      <c r="G68" s="92"/>
      <c r="H68" s="93"/>
      <c r="I68" s="93"/>
      <c r="J68" s="93"/>
      <c r="K68" s="93"/>
      <c r="L68" s="99"/>
      <c r="M68" s="100"/>
      <c r="N68" s="334"/>
      <c r="O68" s="334"/>
      <c r="P68" s="149"/>
      <c r="Q68" s="103"/>
    </row>
    <row r="69" spans="1:53" ht="12" customHeight="1" x14ac:dyDescent="0.15">
      <c r="F69" s="105" t="s">
        <v>852</v>
      </c>
      <c r="G69" s="131">
        <f>SUM(G$10:G$63)/COUNT(G$10:G$63)</f>
        <v>17000</v>
      </c>
      <c r="H69" s="132"/>
      <c r="I69" s="132"/>
      <c r="J69" s="132"/>
      <c r="K69" s="132"/>
      <c r="L69" s="98"/>
      <c r="M69" s="98"/>
      <c r="N69" s="335"/>
      <c r="O69" s="335"/>
      <c r="P69" s="133"/>
      <c r="Q69" s="133"/>
      <c r="S69" s="13"/>
      <c r="T69" s="13"/>
    </row>
    <row r="70" spans="1:53" ht="12" customHeight="1" x14ac:dyDescent="0.15">
      <c r="F70" s="105"/>
      <c r="G70" s="151"/>
      <c r="H70" s="132"/>
      <c r="I70" s="132"/>
      <c r="J70" s="132"/>
      <c r="K70" s="132"/>
      <c r="L70" s="152"/>
      <c r="M70" s="152"/>
      <c r="N70" s="335"/>
      <c r="O70" s="335"/>
      <c r="P70" s="133"/>
      <c r="Q70" s="133"/>
      <c r="S70" s="13"/>
      <c r="T70" s="13"/>
    </row>
    <row r="71" spans="1:53" ht="12" customHeight="1" x14ac:dyDescent="0.15">
      <c r="F71" s="105"/>
      <c r="G71" s="153" t="s">
        <v>1148</v>
      </c>
      <c r="H71" s="154">
        <f>SUM(H$2:H$63)</f>
        <v>401</v>
      </c>
      <c r="I71" s="154">
        <f>SUM(I$2:I$63)</f>
        <v>74</v>
      </c>
      <c r="J71" s="154">
        <f>SUM(J$2:J$63)</f>
        <v>56</v>
      </c>
      <c r="K71" s="154">
        <f>SUM(K$2:K$63)</f>
        <v>55</v>
      </c>
      <c r="L71" s="86">
        <f>SUM(L$2:L$63)</f>
        <v>1985468</v>
      </c>
      <c r="M71" s="92"/>
      <c r="N71" s="63"/>
      <c r="O71" s="63"/>
      <c r="P71" s="155"/>
      <c r="Q71" s="155"/>
      <c r="R71" s="37" t="s">
        <v>361</v>
      </c>
      <c r="S71" s="13"/>
      <c r="T71" s="13"/>
    </row>
    <row r="72" spans="1:53" ht="12" customHeight="1" x14ac:dyDescent="0.15">
      <c r="F72" s="105"/>
      <c r="G72" s="123" t="s">
        <v>1273</v>
      </c>
      <c r="H72" s="154"/>
      <c r="I72" s="154"/>
      <c r="J72" s="154"/>
      <c r="K72" s="154"/>
      <c r="L72" s="86">
        <f>L71/H71</f>
        <v>4951.2917705735663</v>
      </c>
      <c r="M72" s="92"/>
      <c r="N72" s="63"/>
      <c r="O72" s="63"/>
      <c r="P72" s="155"/>
      <c r="Q72" s="155"/>
      <c r="R72" s="37"/>
      <c r="S72" s="13"/>
      <c r="T72" s="13"/>
    </row>
    <row r="73" spans="1:53" ht="12" customHeight="1" x14ac:dyDescent="0.15">
      <c r="F73" s="71"/>
      <c r="G73" s="21" t="s">
        <v>1252</v>
      </c>
      <c r="H73" s="156">
        <f>I71/H71</f>
        <v>0.18453865336658354</v>
      </c>
      <c r="L73" s="157"/>
      <c r="M73" s="157"/>
      <c r="N73" s="339"/>
      <c r="O73" s="339"/>
      <c r="Q73" s="7"/>
      <c r="S73" s="13"/>
      <c r="T73" s="13"/>
    </row>
    <row r="74" spans="1:53" s="112" customFormat="1" ht="12" customHeight="1" x14ac:dyDescent="0.15">
      <c r="A74" s="110"/>
      <c r="B74" s="110"/>
      <c r="C74" s="110"/>
      <c r="D74" s="110"/>
      <c r="E74" s="110"/>
      <c r="F74" s="107"/>
      <c r="G74" s="21" t="s">
        <v>1253</v>
      </c>
      <c r="H74" s="156">
        <f>(SUM(I71:K71)/H71)</f>
        <v>0.46134663341645887</v>
      </c>
      <c r="I74" s="134"/>
      <c r="J74" s="134"/>
      <c r="K74" s="134"/>
      <c r="L74" s="158"/>
      <c r="M74" s="158"/>
      <c r="N74" s="340"/>
      <c r="O74" s="340"/>
      <c r="P74" s="159"/>
      <c r="Q74" s="159"/>
      <c r="R74" s="110"/>
      <c r="BA74" s="6"/>
    </row>
    <row r="75" spans="1:53" ht="12" customHeight="1" x14ac:dyDescent="0.15">
      <c r="H75" s="103"/>
      <c r="I75" s="103"/>
      <c r="J75" s="103"/>
      <c r="K75" s="103"/>
      <c r="L75" s="160"/>
      <c r="M75" s="160"/>
      <c r="N75" s="338"/>
      <c r="O75" s="338"/>
      <c r="P75" s="127"/>
      <c r="Q75" s="127"/>
      <c r="S75" s="13"/>
      <c r="T75" s="13"/>
    </row>
    <row r="76" spans="1:53" ht="12" customHeight="1" x14ac:dyDescent="0.15">
      <c r="F76" s="85"/>
      <c r="G76" s="86"/>
      <c r="H76" s="87"/>
      <c r="I76" s="87"/>
      <c r="J76" s="87"/>
      <c r="K76" s="87"/>
      <c r="L76" s="100"/>
      <c r="M76" s="100"/>
      <c r="N76" s="334"/>
      <c r="O76" s="334"/>
      <c r="P76" s="149"/>
      <c r="Q76" s="127"/>
    </row>
    <row r="77" spans="1:53" s="112" customFormat="1" ht="12" customHeight="1" x14ac:dyDescent="0.15">
      <c r="A77" s="126" t="s">
        <v>612</v>
      </c>
      <c r="B77" s="128"/>
      <c r="C77" s="110"/>
      <c r="D77" s="110"/>
      <c r="E77" s="110"/>
      <c r="F77" s="91"/>
      <c r="G77" s="92"/>
      <c r="H77" s="93"/>
      <c r="I77" s="93"/>
      <c r="J77" s="93"/>
      <c r="K77" s="93"/>
      <c r="L77" s="100"/>
      <c r="M77" s="100"/>
      <c r="N77" s="334"/>
      <c r="O77" s="334"/>
      <c r="P77" s="149"/>
      <c r="Q77" s="127"/>
      <c r="R77" s="134"/>
      <c r="S77" s="111"/>
      <c r="T77" s="111"/>
      <c r="BA77" s="6"/>
    </row>
    <row r="78" spans="1:53" s="90" customFormat="1" ht="12" customHeight="1" x14ac:dyDescent="0.15">
      <c r="A78" s="51"/>
      <c r="B78" s="51"/>
      <c r="C78" s="51" t="s">
        <v>1742</v>
      </c>
      <c r="D78" s="51" t="s">
        <v>1743</v>
      </c>
      <c r="E78" s="51"/>
      <c r="F78" s="85"/>
      <c r="G78" s="86"/>
      <c r="H78" s="87"/>
      <c r="I78" s="87"/>
      <c r="J78" s="87"/>
      <c r="K78" s="87"/>
      <c r="L78" s="86"/>
      <c r="M78" s="119" t="str">
        <f t="shared" ref="M78:M88" si="23">IF(H78="","",L78/H78)</f>
        <v/>
      </c>
      <c r="N78" s="54"/>
      <c r="O78" s="54"/>
      <c r="P78" s="89"/>
      <c r="Q78" s="89"/>
      <c r="R78" s="89"/>
      <c r="S78" s="55"/>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13"/>
      <c r="BA78" s="6"/>
    </row>
    <row r="79" spans="1:53" s="90" customFormat="1" ht="12" customHeight="1" x14ac:dyDescent="0.15">
      <c r="A79" s="51"/>
      <c r="B79" s="51"/>
      <c r="C79" s="51" t="s">
        <v>1609</v>
      </c>
      <c r="D79" s="51" t="s">
        <v>1615</v>
      </c>
      <c r="E79" s="51"/>
      <c r="F79" s="85"/>
      <c r="G79" s="86"/>
      <c r="H79" s="87"/>
      <c r="I79" s="87"/>
      <c r="J79" s="87"/>
      <c r="K79" s="87"/>
      <c r="L79" s="86"/>
      <c r="M79" s="119" t="str">
        <f t="shared" si="23"/>
        <v/>
      </c>
      <c r="N79" s="54"/>
      <c r="O79" s="54"/>
      <c r="P79" s="89"/>
      <c r="Q79" s="89"/>
      <c r="R79" s="89"/>
      <c r="S79" s="55"/>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13"/>
      <c r="BA79" s="6"/>
    </row>
    <row r="80" spans="1:53" s="90" customFormat="1" ht="12" customHeight="1" x14ac:dyDescent="0.15">
      <c r="A80" s="51"/>
      <c r="B80" s="51"/>
      <c r="C80" s="51" t="s">
        <v>1744</v>
      </c>
      <c r="D80" s="51" t="s">
        <v>1801</v>
      </c>
      <c r="E80" s="51"/>
      <c r="F80" s="85"/>
      <c r="G80" s="86"/>
      <c r="H80" s="87"/>
      <c r="I80" s="87"/>
      <c r="J80" s="87"/>
      <c r="K80" s="87"/>
      <c r="L80" s="86"/>
      <c r="M80" s="119" t="str">
        <f t="shared" si="23"/>
        <v/>
      </c>
      <c r="N80" s="54"/>
      <c r="O80" s="54"/>
      <c r="P80" s="89"/>
      <c r="Q80" s="89"/>
      <c r="R80" s="89"/>
      <c r="S80" s="55"/>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13"/>
      <c r="BA80" s="6"/>
    </row>
    <row r="81" spans="1:53" s="90" customFormat="1" ht="12" customHeight="1" x14ac:dyDescent="0.15">
      <c r="A81" s="51"/>
      <c r="B81" s="51"/>
      <c r="C81" s="51" t="s">
        <v>1745</v>
      </c>
      <c r="D81" s="51" t="s">
        <v>1746</v>
      </c>
      <c r="E81" s="51"/>
      <c r="F81" s="85"/>
      <c r="G81" s="86"/>
      <c r="H81" s="87"/>
      <c r="I81" s="87"/>
      <c r="J81" s="87"/>
      <c r="K81" s="87"/>
      <c r="L81" s="86"/>
      <c r="M81" s="119" t="str">
        <f t="shared" si="23"/>
        <v/>
      </c>
      <c r="N81" s="54"/>
      <c r="O81" s="54"/>
      <c r="P81" s="89"/>
      <c r="Q81" s="89"/>
      <c r="R81" s="89"/>
      <c r="S81" s="55"/>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13"/>
      <c r="BA81" s="6"/>
    </row>
    <row r="82" spans="1:53" s="90" customFormat="1" ht="12" customHeight="1" x14ac:dyDescent="0.15">
      <c r="A82" s="51"/>
      <c r="B82" s="51"/>
      <c r="C82" s="51" t="s">
        <v>1747</v>
      </c>
      <c r="D82" s="51" t="s">
        <v>1748</v>
      </c>
      <c r="E82" s="51"/>
      <c r="F82" s="85"/>
      <c r="G82" s="86"/>
      <c r="H82" s="87"/>
      <c r="I82" s="87"/>
      <c r="J82" s="87"/>
      <c r="K82" s="87"/>
      <c r="L82" s="86"/>
      <c r="M82" s="119" t="str">
        <f t="shared" si="23"/>
        <v/>
      </c>
      <c r="N82" s="54"/>
      <c r="O82" s="54"/>
      <c r="P82" s="89"/>
      <c r="Q82" s="89"/>
      <c r="R82" s="89"/>
      <c r="S82" s="55"/>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13"/>
      <c r="BA82" s="6"/>
    </row>
    <row r="83" spans="1:53" s="90" customFormat="1" ht="12" customHeight="1" x14ac:dyDescent="0.15">
      <c r="A83" s="51"/>
      <c r="B83" s="51"/>
      <c r="C83" s="51" t="s">
        <v>1749</v>
      </c>
      <c r="D83" s="51" t="s">
        <v>1750</v>
      </c>
      <c r="E83" s="51"/>
      <c r="F83" s="85"/>
      <c r="G83" s="86"/>
      <c r="H83" s="87"/>
      <c r="I83" s="87"/>
      <c r="J83" s="87"/>
      <c r="K83" s="87"/>
      <c r="L83" s="86"/>
      <c r="M83" s="119" t="str">
        <f t="shared" si="23"/>
        <v/>
      </c>
      <c r="N83" s="54"/>
      <c r="O83" s="54"/>
      <c r="P83" s="89"/>
      <c r="Q83" s="89"/>
      <c r="R83" s="89"/>
      <c r="S83" s="55"/>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13"/>
      <c r="BA83" s="6"/>
    </row>
    <row r="84" spans="1:53" s="90" customFormat="1" ht="12" customHeight="1" x14ac:dyDescent="0.15">
      <c r="A84" s="51"/>
      <c r="B84" s="51"/>
      <c r="C84" s="51" t="s">
        <v>1753</v>
      </c>
      <c r="D84" s="51" t="s">
        <v>1754</v>
      </c>
      <c r="E84" s="51"/>
      <c r="F84" s="85"/>
      <c r="G84" s="86"/>
      <c r="H84" s="87"/>
      <c r="I84" s="87"/>
      <c r="J84" s="87"/>
      <c r="K84" s="87"/>
      <c r="L84" s="86"/>
      <c r="M84" s="119" t="str">
        <f t="shared" si="23"/>
        <v/>
      </c>
      <c r="N84" s="54"/>
      <c r="O84" s="54"/>
      <c r="P84" s="89"/>
      <c r="Q84" s="89"/>
      <c r="R84" s="89"/>
      <c r="S84" s="55"/>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13"/>
      <c r="BA84" s="6"/>
    </row>
    <row r="85" spans="1:53" s="90" customFormat="1" ht="12" customHeight="1" x14ac:dyDescent="0.15">
      <c r="A85" s="51"/>
      <c r="B85" s="51"/>
      <c r="C85" s="51" t="s">
        <v>1629</v>
      </c>
      <c r="D85" s="51" t="s">
        <v>1630</v>
      </c>
      <c r="E85" s="51"/>
      <c r="F85" s="85"/>
      <c r="G85" s="86"/>
      <c r="H85" s="87"/>
      <c r="I85" s="87"/>
      <c r="J85" s="87"/>
      <c r="K85" s="87"/>
      <c r="L85" s="86"/>
      <c r="M85" s="119" t="str">
        <f t="shared" si="23"/>
        <v/>
      </c>
      <c r="N85" s="54"/>
      <c r="O85" s="54"/>
      <c r="P85" s="89"/>
      <c r="Q85" s="89"/>
      <c r="R85" s="89" t="s">
        <v>1633</v>
      </c>
      <c r="S85" s="55"/>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13"/>
      <c r="BA85" s="6"/>
    </row>
    <row r="86" spans="1:53" s="90" customFormat="1" ht="12" customHeight="1" x14ac:dyDescent="0.15">
      <c r="A86" s="51"/>
      <c r="B86" s="51"/>
      <c r="C86" s="51" t="s">
        <v>1613</v>
      </c>
      <c r="D86" s="51" t="s">
        <v>1757</v>
      </c>
      <c r="E86" s="51"/>
      <c r="F86" s="85"/>
      <c r="G86" s="86"/>
      <c r="H86" s="87"/>
      <c r="I86" s="87"/>
      <c r="J86" s="87"/>
      <c r="K86" s="87"/>
      <c r="L86" s="86"/>
      <c r="M86" s="119" t="str">
        <f t="shared" si="23"/>
        <v/>
      </c>
      <c r="N86" s="54"/>
      <c r="O86" s="54"/>
      <c r="P86" s="89"/>
      <c r="Q86" s="89"/>
      <c r="R86" s="89"/>
      <c r="S86" s="55"/>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13"/>
      <c r="BA86" s="6"/>
    </row>
    <row r="87" spans="1:53" s="90" customFormat="1" ht="12" customHeight="1" x14ac:dyDescent="0.15">
      <c r="A87" s="51"/>
      <c r="B87" s="51"/>
      <c r="C87" s="51" t="s">
        <v>1758</v>
      </c>
      <c r="D87" s="51" t="s">
        <v>1759</v>
      </c>
      <c r="E87" s="51"/>
      <c r="F87" s="85"/>
      <c r="G87" s="86"/>
      <c r="H87" s="87"/>
      <c r="I87" s="87"/>
      <c r="J87" s="87"/>
      <c r="K87" s="87"/>
      <c r="L87" s="86"/>
      <c r="M87" s="119" t="str">
        <f t="shared" si="23"/>
        <v/>
      </c>
      <c r="N87" s="54"/>
      <c r="O87" s="54"/>
      <c r="P87" s="89"/>
      <c r="Q87" s="89"/>
      <c r="R87" s="89"/>
      <c r="S87" s="55"/>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13"/>
      <c r="BA87" s="6"/>
    </row>
    <row r="88" spans="1:53" s="90" customFormat="1" ht="12" customHeight="1" x14ac:dyDescent="0.15">
      <c r="A88" s="51"/>
      <c r="B88" s="51"/>
      <c r="C88" s="51" t="s">
        <v>1760</v>
      </c>
      <c r="D88" s="51" t="s">
        <v>1621</v>
      </c>
      <c r="E88" s="51"/>
      <c r="F88" s="85"/>
      <c r="G88" s="86"/>
      <c r="H88" s="87"/>
      <c r="I88" s="87"/>
      <c r="J88" s="87"/>
      <c r="K88" s="87"/>
      <c r="L88" s="86"/>
      <c r="M88" s="119" t="str">
        <f t="shared" si="23"/>
        <v/>
      </c>
      <c r="N88" s="54"/>
      <c r="O88" s="54"/>
      <c r="P88" s="89"/>
      <c r="Q88" s="89"/>
      <c r="R88" s="89"/>
      <c r="S88" s="55"/>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13"/>
      <c r="BA88" s="6"/>
    </row>
    <row r="89" spans="1:53" ht="12" customHeight="1" x14ac:dyDescent="0.15">
      <c r="C89" s="51" t="s">
        <v>1761</v>
      </c>
      <c r="D89" s="6" t="s">
        <v>1616</v>
      </c>
      <c r="F89" s="85"/>
      <c r="G89" s="86"/>
      <c r="H89" s="87"/>
      <c r="I89" s="87"/>
      <c r="J89" s="87"/>
      <c r="K89" s="87"/>
      <c r="L89" s="100"/>
      <c r="M89" s="100"/>
      <c r="N89" s="334"/>
      <c r="O89" s="334"/>
      <c r="P89" s="149"/>
      <c r="Q89" s="127"/>
      <c r="R89" s="6" t="s">
        <v>1617</v>
      </c>
    </row>
    <row r="90" spans="1:53" ht="12" customHeight="1" x14ac:dyDescent="0.15">
      <c r="F90" s="85"/>
      <c r="G90" s="86"/>
      <c r="H90" s="87"/>
      <c r="I90" s="87"/>
      <c r="J90" s="87"/>
      <c r="K90" s="87"/>
      <c r="L90" s="100"/>
      <c r="M90" s="100"/>
      <c r="N90" s="334"/>
      <c r="O90" s="334"/>
      <c r="P90" s="149"/>
      <c r="Q90" s="127"/>
    </row>
    <row r="91" spans="1:53" ht="12" customHeight="1" x14ac:dyDescent="0.15">
      <c r="F91" s="85"/>
      <c r="G91" s="86"/>
      <c r="H91" s="87"/>
      <c r="I91" s="87"/>
      <c r="J91" s="87"/>
      <c r="K91" s="87"/>
      <c r="L91" s="100"/>
      <c r="M91" s="100"/>
      <c r="N91" s="334"/>
      <c r="O91" s="334"/>
      <c r="P91" s="149"/>
      <c r="Q91" s="127"/>
    </row>
    <row r="92" spans="1:53" ht="12" customHeight="1" x14ac:dyDescent="0.15">
      <c r="F92" s="85"/>
      <c r="G92" s="86"/>
      <c r="H92" s="87"/>
      <c r="I92" s="87"/>
      <c r="J92" s="87"/>
      <c r="K92" s="87"/>
      <c r="L92" s="100"/>
      <c r="M92" s="100"/>
      <c r="N92" s="334"/>
      <c r="O92" s="334"/>
      <c r="P92" s="149"/>
      <c r="Q92" s="127"/>
    </row>
    <row r="93" spans="1:53" ht="12" customHeight="1" x14ac:dyDescent="0.15">
      <c r="G93" s="21"/>
      <c r="H93" s="104"/>
      <c r="I93" s="104"/>
      <c r="J93" s="104"/>
      <c r="K93" s="104"/>
      <c r="L93" s="100"/>
      <c r="M93" s="100"/>
      <c r="N93" s="334"/>
      <c r="O93" s="334"/>
      <c r="P93" s="149"/>
      <c r="Q93" s="127"/>
    </row>
    <row r="94" spans="1:53" ht="12" customHeight="1" x14ac:dyDescent="0.15">
      <c r="F94" s="91"/>
      <c r="G94" s="92"/>
      <c r="H94" s="93"/>
      <c r="I94" s="93"/>
      <c r="J94" s="93"/>
      <c r="K94" s="93"/>
      <c r="L94" s="100"/>
      <c r="M94" s="100"/>
      <c r="N94" s="334"/>
      <c r="O94" s="334"/>
      <c r="P94" s="149"/>
      <c r="Q94" s="127"/>
    </row>
    <row r="95" spans="1:53" ht="12" customHeight="1" x14ac:dyDescent="0.15">
      <c r="F95" s="85"/>
      <c r="G95" s="86"/>
      <c r="H95" s="87"/>
      <c r="I95" s="87"/>
      <c r="J95" s="87"/>
      <c r="K95" s="87"/>
      <c r="L95" s="100"/>
      <c r="M95" s="100"/>
      <c r="N95" s="334"/>
      <c r="O95" s="334"/>
      <c r="P95" s="149"/>
      <c r="Q95" s="127"/>
    </row>
    <row r="96" spans="1:53" ht="12" customHeight="1" x14ac:dyDescent="0.15">
      <c r="F96" s="91"/>
      <c r="G96" s="92"/>
      <c r="H96" s="93"/>
      <c r="I96" s="93"/>
      <c r="J96" s="93"/>
      <c r="K96" s="93"/>
      <c r="L96" s="100"/>
      <c r="M96" s="100"/>
      <c r="N96" s="334"/>
      <c r="O96" s="334"/>
      <c r="P96" s="149"/>
      <c r="Q96" s="127"/>
    </row>
    <row r="97" spans="1:20" ht="12" customHeight="1" x14ac:dyDescent="0.15">
      <c r="F97" s="91"/>
      <c r="G97" s="92"/>
      <c r="H97" s="93"/>
      <c r="I97" s="93"/>
      <c r="J97" s="93"/>
      <c r="K97" s="93"/>
      <c r="L97" s="100"/>
      <c r="M97" s="100"/>
      <c r="N97" s="334"/>
      <c r="O97" s="334"/>
      <c r="P97" s="149"/>
      <c r="Q97" s="127"/>
    </row>
    <row r="98" spans="1:20" ht="12" customHeight="1" x14ac:dyDescent="0.15">
      <c r="A98" s="135" t="s">
        <v>1825</v>
      </c>
      <c r="L98" s="136"/>
      <c r="M98" s="100"/>
      <c r="N98" s="334"/>
      <c r="O98" s="334"/>
      <c r="Q98" s="7"/>
      <c r="S98" s="13"/>
      <c r="T98" s="13"/>
    </row>
    <row r="99" spans="1:20" ht="12" customHeight="1" x14ac:dyDescent="0.15">
      <c r="F99" s="85"/>
      <c r="G99" s="86"/>
      <c r="H99" s="87"/>
      <c r="I99" s="87"/>
      <c r="J99" s="87"/>
      <c r="K99" s="87"/>
      <c r="L99" s="100"/>
      <c r="M99" s="100"/>
      <c r="N99" s="334"/>
      <c r="O99" s="334"/>
      <c r="P99" s="149"/>
      <c r="Q99" s="127"/>
    </row>
    <row r="100" spans="1:20" ht="12" customHeight="1" x14ac:dyDescent="0.15">
      <c r="H100" s="103"/>
      <c r="I100" s="103"/>
      <c r="J100" s="103"/>
      <c r="K100" s="103"/>
      <c r="L100" s="100"/>
      <c r="M100" s="100"/>
      <c r="N100" s="334"/>
      <c r="O100" s="334"/>
      <c r="P100" s="149"/>
      <c r="Q100" s="127"/>
    </row>
    <row r="101" spans="1:20" ht="12" customHeight="1" x14ac:dyDescent="0.15">
      <c r="F101" s="105"/>
      <c r="G101" s="131"/>
      <c r="H101" s="132"/>
      <c r="I101" s="132"/>
      <c r="J101" s="132"/>
      <c r="K101" s="132"/>
      <c r="L101" s="100"/>
      <c r="M101" s="114"/>
      <c r="N101" s="334"/>
      <c r="O101" s="334"/>
      <c r="P101" s="149"/>
      <c r="Q101" s="127"/>
    </row>
    <row r="102" spans="1:20" ht="12" customHeight="1" x14ac:dyDescent="0.15">
      <c r="A102" s="113"/>
    </row>
    <row r="103" spans="1:20" ht="12" customHeight="1" x14ac:dyDescent="0.15">
      <c r="A103" s="113"/>
    </row>
    <row r="104" spans="1:20" ht="12" customHeight="1" x14ac:dyDescent="0.15">
      <c r="A104" s="113"/>
    </row>
    <row r="105" spans="1:20" x14ac:dyDescent="0.15">
      <c r="A105" s="113"/>
    </row>
    <row r="106" spans="1:20" x14ac:dyDescent="0.15">
      <c r="A106" s="113"/>
    </row>
    <row r="107" spans="1:20" x14ac:dyDescent="0.15">
      <c r="A107" s="113"/>
    </row>
    <row r="108" spans="1:20" x14ac:dyDescent="0.15">
      <c r="A108" s="113"/>
    </row>
    <row r="109" spans="1:20" x14ac:dyDescent="0.15">
      <c r="A109" s="113"/>
    </row>
    <row r="110" spans="1:20" x14ac:dyDescent="0.15">
      <c r="A110" s="113"/>
    </row>
    <row r="111" spans="1:20" x14ac:dyDescent="0.15">
      <c r="A111" s="113"/>
    </row>
    <row r="112" spans="1:20" x14ac:dyDescent="0.15">
      <c r="A112" s="113"/>
    </row>
    <row r="114" spans="6:7" x14ac:dyDescent="0.15">
      <c r="F114" s="71"/>
    </row>
    <row r="115" spans="6:7" x14ac:dyDescent="0.15">
      <c r="F115" s="71"/>
    </row>
    <row r="116" spans="6:7" x14ac:dyDescent="0.15">
      <c r="F116" s="107"/>
      <c r="G116" s="108"/>
    </row>
  </sheetData>
  <sortState ref="A25:AY39">
    <sortCondition ref="C25:C39"/>
  </sortState>
  <phoneticPr fontId="4" type="noConversion"/>
  <pageMargins left="0.7" right="0.7" top="0.75" bottom="0.75" header="0.3" footer="0.3"/>
  <pageSetup orientation="portrait" verticalDpi="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19</vt:i4>
      </vt:variant>
    </vt:vector>
  </HeadingPairs>
  <TitlesOfParts>
    <vt:vector size="19" baseType="lpstr">
      <vt:lpstr>2016 Races</vt:lpstr>
      <vt:lpstr>2016 Workouts</vt:lpstr>
      <vt:lpstr>2006 Foals</vt:lpstr>
      <vt:lpstr>2007 Foals</vt:lpstr>
      <vt:lpstr>2008 Foals</vt:lpstr>
      <vt:lpstr>2009 Foals</vt:lpstr>
      <vt:lpstr>2010 Foals</vt:lpstr>
      <vt:lpstr>2011 Foals</vt:lpstr>
      <vt:lpstr>2012 Foals</vt:lpstr>
      <vt:lpstr>2012-SA Foals</vt:lpstr>
      <vt:lpstr>2013 Foals</vt:lpstr>
      <vt:lpstr>2013-SA Foals</vt:lpstr>
      <vt:lpstr>2014 Foals</vt:lpstr>
      <vt:lpstr>2014-SA Foals</vt:lpstr>
      <vt:lpstr>2015 Foals</vt:lpstr>
      <vt:lpstr>2016 Foals</vt:lpstr>
      <vt:lpstr>2017 Foals</vt:lpstr>
      <vt:lpstr>$100k Earners</vt:lpstr>
      <vt:lpstr>Credits</vt:lpstr>
    </vt:vector>
  </TitlesOfParts>
  <Company>DSC System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FRBSF</dc:creator>
  <cp:lastModifiedBy>Microsoft Office User</cp:lastModifiedBy>
  <cp:lastPrinted>2015-08-06T14:00:10Z</cp:lastPrinted>
  <dcterms:created xsi:type="dcterms:W3CDTF">2006-05-30T23:09:05Z</dcterms:created>
  <dcterms:modified xsi:type="dcterms:W3CDTF">2016-09-19T16:00:41Z</dcterms:modified>
</cp:coreProperties>
</file>